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375" windowWidth="18195" windowHeight="10560"/>
  </bookViews>
  <sheets>
    <sheet name="Calculator" sheetId="1" r:id="rId1"/>
    <sheet name="Guidelines" sheetId="2" r:id="rId2"/>
    <sheet name="Sheet3" sheetId="3" r:id="rId3"/>
  </sheets>
  <calcPr calcId="145621"/>
</workbook>
</file>

<file path=xl/calcChain.xml><?xml version="1.0" encoding="utf-8"?>
<calcChain xmlns="http://schemas.openxmlformats.org/spreadsheetml/2006/main">
  <c r="I324" i="1" l="1"/>
  <c r="I323" i="1"/>
  <c r="I322" i="1"/>
  <c r="I321" i="1"/>
  <c r="I320" i="1"/>
  <c r="I319" i="1"/>
  <c r="I318" i="1"/>
  <c r="I317" i="1"/>
  <c r="I316" i="1"/>
  <c r="I315" i="1"/>
  <c r="F179" i="1"/>
  <c r="F172" i="1"/>
  <c r="F171" i="1"/>
  <c r="F170" i="1"/>
  <c r="F169" i="1"/>
  <c r="F168" i="1"/>
  <c r="F167" i="1"/>
  <c r="G162" i="1"/>
  <c r="J161" i="1"/>
  <c r="I161" i="1"/>
  <c r="H161" i="1"/>
  <c r="G161" i="1"/>
  <c r="F161" i="1"/>
  <c r="J151" i="1"/>
  <c r="I151" i="1"/>
  <c r="H151" i="1"/>
  <c r="G151" i="1"/>
  <c r="F151" i="1"/>
  <c r="E149" i="1"/>
  <c r="J147" i="1"/>
  <c r="I147" i="1"/>
  <c r="I162" i="1" s="1"/>
  <c r="H147" i="1"/>
  <c r="G147" i="1"/>
  <c r="F147" i="1"/>
  <c r="E145" i="1"/>
  <c r="J143" i="1"/>
  <c r="I143" i="1"/>
  <c r="H143" i="1"/>
  <c r="G143" i="1"/>
  <c r="F143" i="1"/>
  <c r="E143" i="1"/>
  <c r="C143" i="1"/>
  <c r="D142" i="1"/>
  <c r="E141" i="1"/>
  <c r="D140" i="1"/>
  <c r="D139" i="1"/>
  <c r="D138" i="1"/>
  <c r="D137" i="1"/>
  <c r="D136" i="1"/>
  <c r="D135" i="1"/>
  <c r="D134" i="1"/>
  <c r="D133" i="1"/>
  <c r="D132" i="1"/>
  <c r="D131" i="1"/>
  <c r="D130" i="1"/>
  <c r="D129" i="1"/>
  <c r="D128" i="1"/>
  <c r="D127" i="1"/>
  <c r="D126" i="1"/>
  <c r="J124" i="1"/>
  <c r="I124" i="1"/>
  <c r="G124" i="1"/>
  <c r="F124" i="1"/>
  <c r="E124" i="1"/>
  <c r="C124" i="1"/>
  <c r="E122" i="1"/>
  <c r="D121" i="1"/>
  <c r="D120" i="1"/>
  <c r="D119" i="1"/>
  <c r="D118" i="1"/>
  <c r="D117" i="1"/>
  <c r="D116" i="1"/>
  <c r="D115" i="1"/>
  <c r="D114" i="1"/>
  <c r="F113" i="1"/>
  <c r="D113" i="1"/>
  <c r="D112" i="1"/>
  <c r="D111" i="1"/>
  <c r="H110" i="1"/>
  <c r="D110" i="1"/>
  <c r="D109" i="1"/>
  <c r="D108" i="1"/>
  <c r="D107" i="1"/>
  <c r="J105" i="1"/>
  <c r="I105" i="1"/>
  <c r="G105" i="1"/>
  <c r="E105" i="1"/>
  <c r="C105" i="1"/>
  <c r="E103" i="1"/>
  <c r="D102" i="1"/>
  <c r="D101" i="1"/>
  <c r="D100" i="1"/>
  <c r="D99" i="1"/>
  <c r="D98" i="1"/>
  <c r="D97" i="1"/>
  <c r="D96" i="1"/>
  <c r="D95" i="1"/>
  <c r="H94" i="1"/>
  <c r="F94" i="1"/>
  <c r="D94" i="1"/>
  <c r="D93" i="1"/>
  <c r="D92" i="1"/>
  <c r="D91" i="1"/>
  <c r="D90" i="1"/>
  <c r="D89" i="1"/>
  <c r="D88" i="1"/>
  <c r="J86" i="1"/>
  <c r="I86" i="1"/>
  <c r="H86" i="1"/>
  <c r="G86" i="1"/>
  <c r="E86" i="1"/>
  <c r="C86" i="1"/>
  <c r="E84" i="1"/>
  <c r="D83" i="1"/>
  <c r="H82" i="1"/>
  <c r="F82" i="1"/>
  <c r="D82" i="1"/>
  <c r="D81" i="1"/>
  <c r="D80" i="1"/>
  <c r="D79" i="1"/>
  <c r="D78" i="1"/>
  <c r="D85" i="1" s="1"/>
  <c r="D77" i="1"/>
  <c r="J75" i="1"/>
  <c r="I75" i="1"/>
  <c r="H75" i="1"/>
  <c r="G75" i="1"/>
  <c r="F75" i="1"/>
  <c r="E75" i="1"/>
  <c r="C75" i="1"/>
  <c r="E73" i="1"/>
  <c r="D72" i="1"/>
  <c r="D71" i="1"/>
  <c r="D70" i="1"/>
  <c r="D69" i="1"/>
  <c r="D68" i="1"/>
  <c r="D67" i="1"/>
  <c r="D66" i="1"/>
  <c r="D65" i="1"/>
  <c r="D64" i="1"/>
  <c r="D63" i="1"/>
  <c r="D62" i="1"/>
  <c r="D61" i="1"/>
  <c r="D60" i="1"/>
  <c r="J58" i="1"/>
  <c r="I58" i="1"/>
  <c r="H58" i="1"/>
  <c r="G58" i="1"/>
  <c r="F58" i="1"/>
  <c r="E58" i="1"/>
  <c r="C58" i="1"/>
  <c r="E56" i="1"/>
  <c r="D55" i="1"/>
  <c r="D54" i="1"/>
  <c r="D53" i="1"/>
  <c r="D52" i="1"/>
  <c r="D51" i="1"/>
  <c r="D50" i="1"/>
  <c r="D49" i="1"/>
  <c r="D48" i="1"/>
  <c r="D47" i="1"/>
  <c r="D46" i="1"/>
  <c r="D45" i="1"/>
  <c r="D40" i="1"/>
  <c r="J38" i="1"/>
  <c r="I38" i="1"/>
  <c r="G38" i="1"/>
  <c r="E38" i="1"/>
  <c r="E36" i="1"/>
  <c r="D35" i="1"/>
  <c r="C35" i="1"/>
  <c r="D34" i="1"/>
  <c r="C34" i="1"/>
  <c r="D33" i="1"/>
  <c r="C33" i="1"/>
  <c r="D32" i="1"/>
  <c r="C32" i="1"/>
  <c r="D31" i="1"/>
  <c r="C31" i="1"/>
  <c r="D30" i="1"/>
  <c r="C30" i="1"/>
  <c r="D29" i="1"/>
  <c r="C29" i="1"/>
  <c r="D28" i="1"/>
  <c r="C28" i="1"/>
  <c r="D27" i="1"/>
  <c r="C27" i="1"/>
  <c r="D26" i="1"/>
  <c r="C26" i="1"/>
  <c r="D25" i="1"/>
  <c r="C25" i="1"/>
  <c r="D24" i="1"/>
  <c r="C24" i="1"/>
  <c r="D23" i="1"/>
  <c r="C22" i="1"/>
  <c r="D22" i="1" s="1"/>
  <c r="D21" i="1"/>
  <c r="C21" i="1"/>
  <c r="C20" i="1"/>
  <c r="D20" i="1" s="1"/>
  <c r="H19" i="1"/>
  <c r="F19" i="1"/>
  <c r="F38" i="1" s="1"/>
  <c r="D19" i="1"/>
  <c r="D18" i="1"/>
  <c r="C18" i="1"/>
  <c r="D17" i="1"/>
  <c r="C17" i="1"/>
  <c r="I15" i="1"/>
  <c r="G15" i="1"/>
  <c r="F15" i="1"/>
  <c r="E15" i="1"/>
  <c r="J14" i="1"/>
  <c r="J13" i="1"/>
  <c r="J15" i="1" s="1"/>
  <c r="J12" i="1" s="1"/>
  <c r="E13" i="1"/>
  <c r="H12" i="1"/>
  <c r="H15" i="1" s="1"/>
  <c r="F12" i="1"/>
  <c r="D12" i="1"/>
  <c r="J11" i="1"/>
  <c r="D11" i="1"/>
  <c r="C11" i="1"/>
  <c r="J6" i="1"/>
  <c r="D6" i="1"/>
  <c r="C6" i="1"/>
  <c r="D5" i="1"/>
  <c r="D7" i="1" s="1"/>
  <c r="C5" i="1"/>
  <c r="D75" i="1" l="1"/>
  <c r="D104" i="1"/>
  <c r="E151" i="1"/>
  <c r="C38" i="1"/>
  <c r="D58" i="1"/>
  <c r="D73" i="1"/>
  <c r="F86" i="1"/>
  <c r="D123" i="1"/>
  <c r="D303" i="1"/>
  <c r="E162" i="1"/>
  <c r="D246" i="1"/>
  <c r="D15" i="1"/>
  <c r="D37" i="1"/>
  <c r="D143" i="1"/>
  <c r="D145" i="1"/>
  <c r="D311" i="1"/>
  <c r="C15" i="1"/>
  <c r="D175" i="1"/>
  <c r="D38" i="1"/>
  <c r="H38" i="1"/>
  <c r="D41" i="1"/>
  <c r="D218" i="1"/>
  <c r="C239" i="1"/>
  <c r="D86" i="1"/>
  <c r="C251" i="1"/>
  <c r="D265" i="1"/>
  <c r="F105" i="1"/>
  <c r="F162" i="1" s="1"/>
  <c r="D124" i="1"/>
  <c r="D162" i="1" s="1"/>
  <c r="H124" i="1"/>
  <c r="H162" i="1" s="1"/>
  <c r="C301" i="1"/>
  <c r="C162" i="1"/>
  <c r="C211" i="1"/>
  <c r="F312" i="1"/>
  <c r="F304" i="1"/>
  <c r="F303" i="1"/>
  <c r="F302" i="1"/>
  <c r="F301" i="1"/>
  <c r="F300" i="1"/>
  <c r="F299" i="1"/>
  <c r="F298" i="1"/>
  <c r="F285" i="1"/>
  <c r="F284" i="1"/>
  <c r="F283" i="1"/>
  <c r="F282" i="1"/>
  <c r="F281" i="1"/>
  <c r="F280" i="1"/>
  <c r="F279" i="1"/>
  <c r="F278" i="1"/>
  <c r="F277" i="1"/>
  <c r="F276" i="1"/>
  <c r="F275" i="1"/>
  <c r="F274" i="1"/>
  <c r="F273" i="1"/>
  <c r="F272" i="1"/>
  <c r="F271" i="1"/>
  <c r="F270" i="1"/>
  <c r="F269" i="1"/>
  <c r="F296" i="1"/>
  <c r="F294" i="1"/>
  <c r="F292" i="1"/>
  <c r="F290" i="1"/>
  <c r="F288" i="1"/>
  <c r="F265" i="1"/>
  <c r="F264" i="1"/>
  <c r="F263" i="1"/>
  <c r="F262" i="1"/>
  <c r="F261" i="1"/>
  <c r="F260" i="1"/>
  <c r="F259" i="1"/>
  <c r="F258" i="1"/>
  <c r="F257" i="1"/>
  <c r="F256" i="1"/>
  <c r="F255" i="1"/>
  <c r="F254" i="1"/>
  <c r="F253" i="1"/>
  <c r="F252" i="1"/>
  <c r="F251" i="1"/>
  <c r="F250" i="1"/>
  <c r="F308" i="1"/>
  <c r="F266" i="1"/>
  <c r="F295" i="1"/>
  <c r="F291" i="1"/>
  <c r="F311" i="1"/>
  <c r="F307" i="1"/>
  <c r="F297" i="1"/>
  <c r="F293" i="1"/>
  <c r="F289" i="1"/>
  <c r="F247" i="1"/>
  <c r="F245" i="1"/>
  <c r="F243" i="1"/>
  <c r="F241" i="1"/>
  <c r="F239" i="1"/>
  <c r="F176" i="1"/>
  <c r="F175" i="1"/>
  <c r="F174" i="1"/>
  <c r="F173" i="1"/>
  <c r="F209" i="1"/>
  <c r="C224" i="1"/>
  <c r="C228" i="1"/>
  <c r="D235" i="1"/>
  <c r="C242" i="1"/>
  <c r="C250" i="1"/>
  <c r="C260" i="1"/>
  <c r="C264" i="1"/>
  <c r="D105" i="1"/>
  <c r="H105" i="1"/>
  <c r="C270" i="1"/>
  <c r="C273" i="1"/>
  <c r="C280" i="1"/>
  <c r="D284" i="1"/>
  <c r="C290" i="1"/>
  <c r="C298" i="1"/>
  <c r="C302" i="1"/>
  <c r="D307" i="1"/>
  <c r="F180" i="1"/>
  <c r="F182" i="1"/>
  <c r="F184" i="1"/>
  <c r="F186" i="1"/>
  <c r="F188" i="1"/>
  <c r="F190" i="1"/>
  <c r="F192" i="1"/>
  <c r="F194" i="1"/>
  <c r="F196" i="1"/>
  <c r="F198" i="1"/>
  <c r="F223" i="1"/>
  <c r="F225" i="1"/>
  <c r="F227" i="1"/>
  <c r="F229" i="1"/>
  <c r="F230" i="1"/>
  <c r="F202" i="1"/>
  <c r="F204" i="1"/>
  <c r="F206" i="1"/>
  <c r="F208" i="1"/>
  <c r="F210" i="1"/>
  <c r="F212" i="1"/>
  <c r="F214" i="1"/>
  <c r="F216" i="1"/>
  <c r="F218" i="1"/>
  <c r="F231" i="1"/>
  <c r="F232" i="1"/>
  <c r="F240" i="1"/>
  <c r="F244" i="1"/>
  <c r="F181" i="1"/>
  <c r="F183" i="1"/>
  <c r="F185" i="1"/>
  <c r="F187" i="1"/>
  <c r="F189" i="1"/>
  <c r="F191" i="1"/>
  <c r="F193" i="1"/>
  <c r="F195" i="1"/>
  <c r="F197" i="1"/>
  <c r="F199" i="1"/>
  <c r="F222" i="1"/>
  <c r="F224" i="1"/>
  <c r="F226" i="1"/>
  <c r="F228" i="1"/>
  <c r="F233" i="1"/>
  <c r="F234" i="1"/>
  <c r="F236" i="1"/>
  <c r="F203" i="1"/>
  <c r="F205" i="1"/>
  <c r="F207" i="1"/>
  <c r="F211" i="1"/>
  <c r="F213" i="1"/>
  <c r="F215" i="1"/>
  <c r="F217" i="1"/>
  <c r="F219" i="1"/>
  <c r="F235" i="1"/>
  <c r="F242" i="1"/>
  <c r="F246" i="1"/>
  <c r="E311" i="1" l="1"/>
  <c r="E308" i="1"/>
  <c r="E307" i="1"/>
  <c r="E312" i="1"/>
  <c r="E304" i="1"/>
  <c r="E303" i="1"/>
  <c r="E302" i="1"/>
  <c r="E301" i="1"/>
  <c r="E300" i="1"/>
  <c r="E299" i="1"/>
  <c r="E298" i="1"/>
  <c r="E297" i="1"/>
  <c r="E296" i="1"/>
  <c r="E295" i="1"/>
  <c r="E294" i="1"/>
  <c r="E293" i="1"/>
  <c r="E292" i="1"/>
  <c r="E291" i="1"/>
  <c r="E290" i="1"/>
  <c r="E289" i="1"/>
  <c r="E288" i="1"/>
  <c r="E285" i="1"/>
  <c r="E283" i="1"/>
  <c r="E281" i="1"/>
  <c r="E279" i="1"/>
  <c r="E277" i="1"/>
  <c r="E273" i="1"/>
  <c r="E271" i="1"/>
  <c r="E269" i="1"/>
  <c r="E284" i="1"/>
  <c r="E280" i="1"/>
  <c r="E276" i="1"/>
  <c r="E272" i="1"/>
  <c r="E265" i="1"/>
  <c r="E264" i="1"/>
  <c r="E263" i="1"/>
  <c r="E262" i="1"/>
  <c r="E261" i="1"/>
  <c r="E260" i="1"/>
  <c r="E259" i="1"/>
  <c r="E258" i="1"/>
  <c r="E257" i="1"/>
  <c r="E255" i="1"/>
  <c r="E254" i="1"/>
  <c r="E253" i="1"/>
  <c r="E252" i="1"/>
  <c r="E251" i="1"/>
  <c r="E247" i="1"/>
  <c r="E245" i="1"/>
  <c r="E243" i="1"/>
  <c r="E241" i="1"/>
  <c r="E239" i="1"/>
  <c r="E266" i="1"/>
  <c r="E282" i="1"/>
  <c r="E278" i="1"/>
  <c r="E274" i="1"/>
  <c r="E270" i="1"/>
  <c r="E236" i="1"/>
  <c r="E234" i="1"/>
  <c r="E232" i="1"/>
  <c r="E230" i="1"/>
  <c r="E199" i="1"/>
  <c r="E198" i="1"/>
  <c r="E197" i="1"/>
  <c r="E196" i="1"/>
  <c r="E195" i="1"/>
  <c r="E194" i="1"/>
  <c r="E193" i="1"/>
  <c r="E192" i="1"/>
  <c r="E191" i="1"/>
  <c r="E190" i="1"/>
  <c r="E189" i="1"/>
  <c r="E188" i="1"/>
  <c r="E187" i="1"/>
  <c r="E186" i="1"/>
  <c r="E185" i="1"/>
  <c r="E184" i="1"/>
  <c r="E183" i="1"/>
  <c r="E182" i="1"/>
  <c r="E180" i="1"/>
  <c r="E179" i="1"/>
  <c r="E229" i="1"/>
  <c r="E227" i="1"/>
  <c r="E225" i="1"/>
  <c r="E223" i="1"/>
  <c r="E176" i="1"/>
  <c r="E246" i="1"/>
  <c r="E242" i="1"/>
  <c r="E235" i="1"/>
  <c r="E219" i="1"/>
  <c r="E217" i="1"/>
  <c r="E215" i="1"/>
  <c r="E213" i="1"/>
  <c r="E211" i="1"/>
  <c r="E209" i="1"/>
  <c r="E207" i="1"/>
  <c r="E205" i="1"/>
  <c r="E203" i="1"/>
  <c r="E250" i="1"/>
  <c r="E233" i="1"/>
  <c r="E228" i="1"/>
  <c r="E226" i="1"/>
  <c r="E224" i="1"/>
  <c r="E222" i="1"/>
  <c r="E175" i="1"/>
  <c r="E173" i="1"/>
  <c r="E172" i="1"/>
  <c r="E171" i="1"/>
  <c r="E170" i="1"/>
  <c r="E169" i="1"/>
  <c r="E240" i="1"/>
  <c r="E231" i="1"/>
  <c r="E218" i="1"/>
  <c r="E216" i="1"/>
  <c r="E214" i="1"/>
  <c r="E212" i="1"/>
  <c r="E210" i="1"/>
  <c r="E208" i="1"/>
  <c r="E206" i="1"/>
  <c r="E204" i="1"/>
  <c r="E202" i="1"/>
  <c r="E168" i="1"/>
  <c r="E167" i="1"/>
  <c r="E244" i="1"/>
  <c r="E181" i="1"/>
  <c r="E275" i="1"/>
  <c r="E174" i="1"/>
  <c r="E256" i="1"/>
  <c r="G266" i="1"/>
  <c r="G296" i="1"/>
  <c r="G294" i="1"/>
  <c r="G292" i="1"/>
  <c r="G290" i="1"/>
  <c r="G288" i="1"/>
  <c r="G265" i="1"/>
  <c r="G264" i="1"/>
  <c r="G263" i="1"/>
  <c r="G262" i="1"/>
  <c r="G261" i="1"/>
  <c r="G260" i="1"/>
  <c r="G259" i="1"/>
  <c r="G258" i="1"/>
  <c r="G257" i="1"/>
  <c r="G255" i="1"/>
  <c r="G254" i="1"/>
  <c r="G253" i="1"/>
  <c r="G252" i="1"/>
  <c r="G251" i="1"/>
  <c r="G311" i="1"/>
  <c r="G308" i="1"/>
  <c r="G307" i="1"/>
  <c r="G284" i="1"/>
  <c r="G282" i="1"/>
  <c r="G280" i="1"/>
  <c r="G278" i="1"/>
  <c r="G276" i="1"/>
  <c r="G274" i="1"/>
  <c r="G270" i="1"/>
  <c r="G247" i="1"/>
  <c r="G246" i="1"/>
  <c r="G245" i="1"/>
  <c r="G243" i="1"/>
  <c r="G242" i="1"/>
  <c r="G241" i="1"/>
  <c r="G240" i="1"/>
  <c r="G239" i="1"/>
  <c r="G312" i="1"/>
  <c r="G304" i="1"/>
  <c r="G302" i="1"/>
  <c r="G300" i="1"/>
  <c r="G298" i="1"/>
  <c r="G295" i="1"/>
  <c r="G291" i="1"/>
  <c r="G250" i="1"/>
  <c r="G285" i="1"/>
  <c r="G281" i="1"/>
  <c r="G277" i="1"/>
  <c r="G273" i="1"/>
  <c r="G269" i="1"/>
  <c r="G303" i="1"/>
  <c r="G301" i="1"/>
  <c r="G299" i="1"/>
  <c r="G297" i="1"/>
  <c r="G293" i="1"/>
  <c r="G289" i="1"/>
  <c r="G283" i="1"/>
  <c r="G279" i="1"/>
  <c r="G275" i="1"/>
  <c r="G271" i="1"/>
  <c r="G235" i="1"/>
  <c r="G233" i="1"/>
  <c r="G231" i="1"/>
  <c r="G229" i="1"/>
  <c r="G228" i="1"/>
  <c r="G227" i="1"/>
  <c r="G226" i="1"/>
  <c r="G225" i="1"/>
  <c r="G224" i="1"/>
  <c r="G223" i="1"/>
  <c r="G222" i="1"/>
  <c r="G236" i="1"/>
  <c r="G234" i="1"/>
  <c r="G197" i="1"/>
  <c r="G191" i="1"/>
  <c r="G189" i="1"/>
  <c r="G179" i="1"/>
  <c r="G169" i="1"/>
  <c r="G168" i="1"/>
  <c r="G232" i="1"/>
  <c r="G218" i="1"/>
  <c r="G216" i="1"/>
  <c r="G214" i="1"/>
  <c r="G212" i="1"/>
  <c r="G210" i="1"/>
  <c r="G208" i="1"/>
  <c r="G206" i="1"/>
  <c r="G204" i="1"/>
  <c r="G202" i="1"/>
  <c r="G230" i="1"/>
  <c r="G198" i="1"/>
  <c r="G196" i="1"/>
  <c r="G194" i="1"/>
  <c r="G192" i="1"/>
  <c r="G190" i="1"/>
  <c r="G188" i="1"/>
  <c r="G186" i="1"/>
  <c r="G184" i="1"/>
  <c r="G182" i="1"/>
  <c r="G180" i="1"/>
  <c r="G219" i="1"/>
  <c r="G217" i="1"/>
  <c r="G215" i="1"/>
  <c r="G213" i="1"/>
  <c r="G211" i="1"/>
  <c r="G209" i="1"/>
  <c r="G207" i="1"/>
  <c r="G205" i="1"/>
  <c r="G203" i="1"/>
  <c r="G176" i="1"/>
  <c r="G199" i="1"/>
  <c r="G195" i="1"/>
  <c r="G193" i="1"/>
  <c r="G187" i="1"/>
  <c r="G185" i="1"/>
  <c r="G183" i="1"/>
  <c r="G172" i="1"/>
  <c r="G171" i="1"/>
  <c r="G170" i="1"/>
  <c r="G167" i="1"/>
  <c r="G173" i="1"/>
  <c r="G175" i="1"/>
  <c r="J162" i="1"/>
  <c r="G174" i="1"/>
  <c r="G181" i="1"/>
  <c r="G272" i="1"/>
  <c r="G256" i="1"/>
  <c r="G244" i="1"/>
  <c r="C303" i="1"/>
  <c r="C284" i="1"/>
  <c r="C265" i="1"/>
  <c r="C246" i="1"/>
  <c r="C236" i="1"/>
  <c r="C308" i="1"/>
  <c r="C218" i="1"/>
  <c r="C206" i="1"/>
  <c r="C204" i="1"/>
  <c r="C175" i="1"/>
  <c r="C172" i="1"/>
  <c r="C171" i="1"/>
  <c r="C198" i="1"/>
  <c r="C219" i="1"/>
  <c r="C213" i="1"/>
  <c r="C209" i="1"/>
  <c r="C205" i="1"/>
  <c r="C176" i="1"/>
  <c r="C202" i="1"/>
  <c r="C170" i="1"/>
  <c r="C294" i="1"/>
  <c r="C276" i="1"/>
  <c r="C254" i="1"/>
  <c r="C262" i="1"/>
  <c r="C293" i="1"/>
  <c r="C283" i="1"/>
  <c r="C269" i="1"/>
  <c r="C257" i="1"/>
  <c r="C245" i="1"/>
  <c r="C229" i="1"/>
  <c r="C210" i="1"/>
  <c r="C184" i="1"/>
  <c r="C300" i="1"/>
  <c r="C288" i="1"/>
  <c r="C272" i="1"/>
  <c r="C192" i="1"/>
  <c r="C193" i="1"/>
  <c r="C217" i="1"/>
  <c r="C179" i="1"/>
  <c r="C197" i="1"/>
  <c r="D308" i="1"/>
  <c r="D297" i="1"/>
  <c r="D295" i="1"/>
  <c r="D293" i="1"/>
  <c r="D291" i="1"/>
  <c r="D289" i="1"/>
  <c r="D266" i="1"/>
  <c r="D285" i="1"/>
  <c r="D283" i="1"/>
  <c r="D281" i="1"/>
  <c r="D279" i="1"/>
  <c r="D277" i="1"/>
  <c r="D275" i="1"/>
  <c r="D273" i="1"/>
  <c r="D271" i="1"/>
  <c r="D269" i="1"/>
  <c r="D236" i="1"/>
  <c r="D234" i="1"/>
  <c r="D233" i="1"/>
  <c r="D232" i="1"/>
  <c r="D231" i="1"/>
  <c r="D230" i="1"/>
  <c r="D294" i="1"/>
  <c r="D290" i="1"/>
  <c r="D312" i="1"/>
  <c r="D304" i="1"/>
  <c r="D302" i="1"/>
  <c r="D300" i="1"/>
  <c r="D298" i="1"/>
  <c r="D280" i="1"/>
  <c r="D276" i="1"/>
  <c r="D272" i="1"/>
  <c r="D264" i="1"/>
  <c r="D263" i="1"/>
  <c r="D262" i="1"/>
  <c r="D261" i="1"/>
  <c r="D260" i="1"/>
  <c r="D296" i="1"/>
  <c r="D292" i="1"/>
  <c r="D288" i="1"/>
  <c r="D301" i="1"/>
  <c r="D299" i="1"/>
  <c r="D282" i="1"/>
  <c r="D278" i="1"/>
  <c r="D274" i="1"/>
  <c r="D270" i="1"/>
  <c r="D244" i="1"/>
  <c r="D242" i="1"/>
  <c r="D240" i="1"/>
  <c r="D219" i="1"/>
  <c r="D217" i="1"/>
  <c r="D216" i="1"/>
  <c r="D215" i="1"/>
  <c r="D214" i="1"/>
  <c r="D213" i="1"/>
  <c r="D212" i="1"/>
  <c r="D211" i="1"/>
  <c r="D210" i="1"/>
  <c r="D209" i="1"/>
  <c r="D208" i="1"/>
  <c r="D207" i="1"/>
  <c r="D206" i="1"/>
  <c r="D205" i="1"/>
  <c r="D204" i="1"/>
  <c r="D203" i="1"/>
  <c r="D202" i="1"/>
  <c r="D257" i="1"/>
  <c r="D253" i="1"/>
  <c r="D251" i="1"/>
  <c r="D245" i="1"/>
  <c r="D241" i="1"/>
  <c r="D196" i="1"/>
  <c r="D188" i="1"/>
  <c r="D186" i="1"/>
  <c r="D256" i="1"/>
  <c r="D229" i="1"/>
  <c r="D227" i="1"/>
  <c r="D225" i="1"/>
  <c r="D223" i="1"/>
  <c r="D259" i="1"/>
  <c r="D255" i="1"/>
  <c r="D252" i="1"/>
  <c r="D247" i="1"/>
  <c r="D243" i="1"/>
  <c r="D239" i="1"/>
  <c r="D199" i="1"/>
  <c r="D197" i="1"/>
  <c r="D195" i="1"/>
  <c r="D193" i="1"/>
  <c r="D191" i="1"/>
  <c r="D189" i="1"/>
  <c r="D187" i="1"/>
  <c r="D185" i="1"/>
  <c r="D183" i="1"/>
  <c r="D181" i="1"/>
  <c r="D179" i="1"/>
  <c r="D258" i="1"/>
  <c r="D254" i="1"/>
  <c r="D250" i="1"/>
  <c r="D228" i="1"/>
  <c r="D226" i="1"/>
  <c r="D224" i="1"/>
  <c r="D222" i="1"/>
  <c r="D173" i="1"/>
  <c r="D172" i="1"/>
  <c r="D171" i="1"/>
  <c r="D170" i="1"/>
  <c r="D169" i="1"/>
  <c r="D168" i="1"/>
  <c r="D167" i="1"/>
  <c r="D194" i="1"/>
  <c r="D192" i="1"/>
  <c r="D190" i="1"/>
  <c r="D184" i="1"/>
  <c r="D182" i="1"/>
  <c r="D180" i="1"/>
  <c r="D174" i="1"/>
  <c r="D176" i="1"/>
  <c r="C291" i="1"/>
  <c r="C274" i="1"/>
  <c r="C241" i="1"/>
  <c r="C223" i="1"/>
  <c r="C208" i="1"/>
  <c r="C258" i="1"/>
  <c r="C207" i="1"/>
  <c r="C180" i="1"/>
  <c r="C226" i="1"/>
  <c r="C289" i="1"/>
  <c r="C279" i="1"/>
  <c r="C255" i="1"/>
  <c r="C243" i="1"/>
  <c r="C225" i="1"/>
  <c r="C203" i="1"/>
  <c r="C296" i="1"/>
  <c r="C282" i="1"/>
  <c r="C232" i="1"/>
  <c r="C188" i="1"/>
  <c r="C182" i="1"/>
  <c r="C196" i="1"/>
  <c r="C173" i="1"/>
  <c r="C191" i="1"/>
  <c r="C285" i="1"/>
  <c r="C271" i="1"/>
  <c r="C253" i="1"/>
  <c r="C235" i="1"/>
  <c r="D198" i="1"/>
  <c r="C256" i="1"/>
  <c r="C234" i="1"/>
  <c r="C195" i="1"/>
  <c r="C169" i="1"/>
  <c r="C292" i="1"/>
  <c r="C278" i="1"/>
  <c r="C199" i="1"/>
  <c r="C183" i="1"/>
  <c r="C174" i="1"/>
  <c r="C190" i="1"/>
  <c r="C168" i="1"/>
  <c r="C187" i="1"/>
  <c r="C299" i="1"/>
  <c r="C281" i="1"/>
  <c r="C263" i="1"/>
  <c r="C231" i="1"/>
  <c r="C216" i="1"/>
  <c r="C181" i="1"/>
  <c r="C252" i="1"/>
  <c r="C222" i="1"/>
  <c r="C189" i="1"/>
  <c r="C185" i="1"/>
  <c r="C297" i="1"/>
  <c r="C261" i="1"/>
  <c r="C233" i="1"/>
  <c r="C214" i="1"/>
  <c r="C307" i="1"/>
  <c r="D147" i="1"/>
  <c r="C275" i="1"/>
  <c r="C194" i="1"/>
  <c r="C230" i="1"/>
  <c r="C304" i="1"/>
  <c r="C186" i="1"/>
  <c r="C240" i="1"/>
  <c r="C167" i="1"/>
  <c r="C295" i="1"/>
  <c r="C277" i="1"/>
  <c r="C259" i="1"/>
  <c r="C227" i="1"/>
  <c r="C212" i="1"/>
  <c r="C266" i="1"/>
  <c r="C244" i="1"/>
  <c r="C215" i="1"/>
  <c r="C247" i="1"/>
  <c r="I273" i="1" l="1"/>
  <c r="I260" i="1"/>
  <c r="I228" i="1"/>
  <c r="I290" i="1"/>
  <c r="I251" i="1"/>
  <c r="I280" i="1"/>
  <c r="I233" i="1"/>
  <c r="I256" i="1"/>
  <c r="I196" i="1"/>
  <c r="I274" i="1"/>
  <c r="I209" i="1"/>
  <c r="I171" i="1"/>
  <c r="I247" i="1"/>
  <c r="I212" i="1"/>
  <c r="I304" i="1"/>
  <c r="I169" i="1"/>
  <c r="I255" i="1"/>
  <c r="I179" i="1"/>
  <c r="I272" i="1"/>
  <c r="I202" i="1"/>
  <c r="I218" i="1"/>
  <c r="H311" i="1"/>
  <c r="I311" i="1" s="1"/>
  <c r="H308" i="1"/>
  <c r="H307" i="1"/>
  <c r="H284" i="1"/>
  <c r="I284" i="1" s="1"/>
  <c r="H282" i="1"/>
  <c r="H280" i="1"/>
  <c r="H278" i="1"/>
  <c r="I278" i="1" s="1"/>
  <c r="H276" i="1"/>
  <c r="H274" i="1"/>
  <c r="H272" i="1"/>
  <c r="H270" i="1"/>
  <c r="I270" i="1" s="1"/>
  <c r="H312" i="1"/>
  <c r="H304" i="1"/>
  <c r="H303" i="1"/>
  <c r="H302" i="1"/>
  <c r="I302" i="1" s="1"/>
  <c r="H301" i="1"/>
  <c r="I301" i="1" s="1"/>
  <c r="H300" i="1"/>
  <c r="H299" i="1"/>
  <c r="H298" i="1"/>
  <c r="I298" i="1" s="1"/>
  <c r="H297" i="1"/>
  <c r="H295" i="1"/>
  <c r="I295" i="1" s="1"/>
  <c r="H293" i="1"/>
  <c r="H291" i="1"/>
  <c r="I291" i="1" s="1"/>
  <c r="H289" i="1"/>
  <c r="I289" i="1" s="1"/>
  <c r="H266" i="1"/>
  <c r="I266" i="1" s="1"/>
  <c r="H236" i="1"/>
  <c r="H235" i="1"/>
  <c r="I235" i="1" s="1"/>
  <c r="H234" i="1"/>
  <c r="H233" i="1"/>
  <c r="H232" i="1"/>
  <c r="H231" i="1"/>
  <c r="I231" i="1" s="1"/>
  <c r="H230" i="1"/>
  <c r="I230" i="1" s="1"/>
  <c r="H229" i="1"/>
  <c r="H285" i="1"/>
  <c r="I285" i="1" s="1"/>
  <c r="H281" i="1"/>
  <c r="I281" i="1" s="1"/>
  <c r="H277" i="1"/>
  <c r="I277" i="1" s="1"/>
  <c r="H273" i="1"/>
  <c r="H269" i="1"/>
  <c r="I269" i="1" s="1"/>
  <c r="H246" i="1"/>
  <c r="I246" i="1" s="1"/>
  <c r="H244" i="1"/>
  <c r="I244" i="1" s="1"/>
  <c r="H242" i="1"/>
  <c r="I242" i="1" s="1"/>
  <c r="H240" i="1"/>
  <c r="H296" i="1"/>
  <c r="I296" i="1" s="1"/>
  <c r="H292" i="1"/>
  <c r="I292" i="1" s="1"/>
  <c r="H288" i="1"/>
  <c r="H283" i="1"/>
  <c r="H279" i="1"/>
  <c r="H275" i="1"/>
  <c r="H271" i="1"/>
  <c r="H294" i="1"/>
  <c r="H290" i="1"/>
  <c r="H265" i="1"/>
  <c r="I265" i="1" s="1"/>
  <c r="H264" i="1"/>
  <c r="I264" i="1" s="1"/>
  <c r="H263" i="1"/>
  <c r="I263" i="1" s="1"/>
  <c r="H262" i="1"/>
  <c r="I262" i="1" s="1"/>
  <c r="H261" i="1"/>
  <c r="I261" i="1" s="1"/>
  <c r="H260" i="1"/>
  <c r="H259" i="1"/>
  <c r="H258" i="1"/>
  <c r="I258" i="1" s="1"/>
  <c r="H257" i="1"/>
  <c r="H256" i="1"/>
  <c r="H255" i="1"/>
  <c r="H254" i="1"/>
  <c r="I254" i="1" s="1"/>
  <c r="H253" i="1"/>
  <c r="I253" i="1" s="1"/>
  <c r="H252" i="1"/>
  <c r="H251" i="1"/>
  <c r="H250" i="1"/>
  <c r="I250" i="1" s="1"/>
  <c r="H219" i="1"/>
  <c r="I219" i="1" s="1"/>
  <c r="H218" i="1"/>
  <c r="H217" i="1"/>
  <c r="H216" i="1"/>
  <c r="I216" i="1" s="1"/>
  <c r="H215" i="1"/>
  <c r="I215" i="1" s="1"/>
  <c r="H214" i="1"/>
  <c r="H213" i="1"/>
  <c r="I213" i="1" s="1"/>
  <c r="H212" i="1"/>
  <c r="H211" i="1"/>
  <c r="I211" i="1" s="1"/>
  <c r="H210" i="1"/>
  <c r="I210" i="1" s="1"/>
  <c r="H209" i="1"/>
  <c r="H208" i="1"/>
  <c r="I208" i="1" s="1"/>
  <c r="H207" i="1"/>
  <c r="I207" i="1" s="1"/>
  <c r="H206" i="1"/>
  <c r="I206" i="1" s="1"/>
  <c r="H205" i="1"/>
  <c r="H204" i="1"/>
  <c r="H203" i="1"/>
  <c r="I203" i="1" s="1"/>
  <c r="H202" i="1"/>
  <c r="H228" i="1"/>
  <c r="H226" i="1"/>
  <c r="I226" i="1" s="1"/>
  <c r="H224" i="1"/>
  <c r="I224" i="1" s="1"/>
  <c r="H222" i="1"/>
  <c r="H247" i="1"/>
  <c r="H243" i="1"/>
  <c r="I243" i="1" s="1"/>
  <c r="H239" i="1"/>
  <c r="I239" i="1" s="1"/>
  <c r="H198" i="1"/>
  <c r="H196" i="1"/>
  <c r="H194" i="1"/>
  <c r="I194" i="1" s="1"/>
  <c r="H192" i="1"/>
  <c r="I192" i="1" s="1"/>
  <c r="H190" i="1"/>
  <c r="I190" i="1" s="1"/>
  <c r="H188" i="1"/>
  <c r="H186" i="1"/>
  <c r="I186" i="1" s="1"/>
  <c r="H184" i="1"/>
  <c r="I184" i="1" s="1"/>
  <c r="H182" i="1"/>
  <c r="I182" i="1" s="1"/>
  <c r="H227" i="1"/>
  <c r="H225" i="1"/>
  <c r="H223" i="1"/>
  <c r="I223" i="1" s="1"/>
  <c r="H245" i="1"/>
  <c r="H241" i="1"/>
  <c r="H199" i="1"/>
  <c r="I199" i="1" s="1"/>
  <c r="H197" i="1"/>
  <c r="I197" i="1" s="1"/>
  <c r="H195" i="1"/>
  <c r="H193" i="1"/>
  <c r="I193" i="1" s="1"/>
  <c r="H191" i="1"/>
  <c r="I191" i="1" s="1"/>
  <c r="H189" i="1"/>
  <c r="I189" i="1" s="1"/>
  <c r="H187" i="1"/>
  <c r="H185" i="1"/>
  <c r="H183" i="1"/>
  <c r="H181" i="1"/>
  <c r="I181" i="1" s="1"/>
  <c r="H179" i="1"/>
  <c r="H172" i="1"/>
  <c r="I172" i="1" s="1"/>
  <c r="H171" i="1"/>
  <c r="H170" i="1"/>
  <c r="I170" i="1" s="1"/>
  <c r="H169" i="1"/>
  <c r="H167" i="1"/>
  <c r="I167" i="1" s="1"/>
  <c r="H173" i="1"/>
  <c r="I173" i="1" s="1"/>
  <c r="H180" i="1"/>
  <c r="I180" i="1" s="1"/>
  <c r="H168" i="1"/>
  <c r="H174" i="1"/>
  <c r="I174" i="1" s="1"/>
  <c r="H176" i="1"/>
  <c r="I176" i="1" s="1"/>
  <c r="H175" i="1"/>
  <c r="I175" i="1" s="1"/>
  <c r="I279" i="1"/>
  <c r="I217" i="1"/>
  <c r="I229" i="1"/>
  <c r="I276" i="1"/>
  <c r="I307" i="1"/>
  <c r="I299" i="1"/>
  <c r="I195" i="1"/>
  <c r="I188" i="1"/>
  <c r="I288" i="1"/>
  <c r="I283" i="1"/>
  <c r="I308" i="1"/>
  <c r="I259" i="1"/>
  <c r="I240" i="1"/>
  <c r="I214" i="1"/>
  <c r="I185" i="1"/>
  <c r="I222" i="1"/>
  <c r="I187" i="1"/>
  <c r="I183" i="1"/>
  <c r="I234" i="1"/>
  <c r="I232" i="1"/>
  <c r="I225" i="1"/>
  <c r="I241" i="1"/>
  <c r="I312" i="1"/>
  <c r="I300" i="1"/>
  <c r="I245" i="1"/>
  <c r="I293" i="1"/>
  <c r="I294" i="1"/>
  <c r="I205" i="1"/>
  <c r="I198" i="1"/>
  <c r="I204" i="1"/>
  <c r="I236" i="1"/>
  <c r="I303" i="1"/>
  <c r="I227" i="1"/>
  <c r="I297" i="1"/>
  <c r="I275" i="1"/>
  <c r="I252" i="1"/>
  <c r="I168" i="1"/>
  <c r="I271" i="1"/>
  <c r="I282" i="1"/>
  <c r="I257" i="1"/>
  <c r="I328" i="1" l="1"/>
  <c r="J328" i="1" l="1"/>
  <c r="J324" i="1"/>
  <c r="J312" i="1"/>
  <c r="J304" i="1"/>
  <c r="J303" i="1"/>
  <c r="J302" i="1"/>
  <c r="J301" i="1"/>
  <c r="J300" i="1"/>
  <c r="J299" i="1"/>
  <c r="J298" i="1"/>
  <c r="J297" i="1"/>
  <c r="J323" i="1"/>
  <c r="J321" i="1"/>
  <c r="J319" i="1"/>
  <c r="J317" i="1"/>
  <c r="J315" i="1"/>
  <c r="J285" i="1"/>
  <c r="J284" i="1"/>
  <c r="J283" i="1"/>
  <c r="J282" i="1"/>
  <c r="J281" i="1"/>
  <c r="J280" i="1"/>
  <c r="J279" i="1"/>
  <c r="J278" i="1"/>
  <c r="J277" i="1"/>
  <c r="J276" i="1"/>
  <c r="J275" i="1"/>
  <c r="J274" i="1"/>
  <c r="J273" i="1"/>
  <c r="J272" i="1"/>
  <c r="J271" i="1"/>
  <c r="J270" i="1"/>
  <c r="J269" i="1"/>
  <c r="J286" i="1" s="1"/>
  <c r="J322" i="1"/>
  <c r="J311" i="1"/>
  <c r="J313" i="1" s="1"/>
  <c r="J308" i="1"/>
  <c r="J307" i="1"/>
  <c r="J309" i="1" s="1"/>
  <c r="J295" i="1"/>
  <c r="J293" i="1"/>
  <c r="J291" i="1"/>
  <c r="J289" i="1"/>
  <c r="J316" i="1"/>
  <c r="J265" i="1"/>
  <c r="J264" i="1"/>
  <c r="J263" i="1"/>
  <c r="J262" i="1"/>
  <c r="J261" i="1"/>
  <c r="J260" i="1"/>
  <c r="J259" i="1"/>
  <c r="J258" i="1"/>
  <c r="J257" i="1"/>
  <c r="J256" i="1"/>
  <c r="J255" i="1"/>
  <c r="J254" i="1"/>
  <c r="J253" i="1"/>
  <c r="J252" i="1"/>
  <c r="J251" i="1"/>
  <c r="J250" i="1"/>
  <c r="J320" i="1"/>
  <c r="J296" i="1"/>
  <c r="J292" i="1"/>
  <c r="J288" i="1"/>
  <c r="J247" i="1"/>
  <c r="J245" i="1"/>
  <c r="J243" i="1"/>
  <c r="J241" i="1"/>
  <c r="J239" i="1"/>
  <c r="J294" i="1"/>
  <c r="J290" i="1"/>
  <c r="J318" i="1"/>
  <c r="J266" i="1"/>
  <c r="J236" i="1"/>
  <c r="J234" i="1"/>
  <c r="J232" i="1"/>
  <c r="J230" i="1"/>
  <c r="J176" i="1"/>
  <c r="J175" i="1"/>
  <c r="J174" i="1"/>
  <c r="J173" i="1"/>
  <c r="J231" i="1"/>
  <c r="J227" i="1"/>
  <c r="J225" i="1"/>
  <c r="J223" i="1"/>
  <c r="J198" i="1"/>
  <c r="J194" i="1"/>
  <c r="J192" i="1"/>
  <c r="J184" i="1"/>
  <c r="J182" i="1"/>
  <c r="J244" i="1"/>
  <c r="J240" i="1"/>
  <c r="J229" i="1"/>
  <c r="J219" i="1"/>
  <c r="J217" i="1"/>
  <c r="J215" i="1"/>
  <c r="J213" i="1"/>
  <c r="J211" i="1"/>
  <c r="J209" i="1"/>
  <c r="J207" i="1"/>
  <c r="J205" i="1"/>
  <c r="J203" i="1"/>
  <c r="J235" i="1"/>
  <c r="J228" i="1"/>
  <c r="J226" i="1"/>
  <c r="J224" i="1"/>
  <c r="J222" i="1"/>
  <c r="J237" i="1" s="1"/>
  <c r="J199" i="1"/>
  <c r="J197" i="1"/>
  <c r="J195" i="1"/>
  <c r="J193" i="1"/>
  <c r="J191" i="1"/>
  <c r="J189" i="1"/>
  <c r="J187" i="1"/>
  <c r="J185" i="1"/>
  <c r="J183" i="1"/>
  <c r="J181" i="1"/>
  <c r="J179" i="1"/>
  <c r="J246" i="1"/>
  <c r="J242" i="1"/>
  <c r="J233" i="1"/>
  <c r="J218" i="1"/>
  <c r="J216" i="1"/>
  <c r="J214" i="1"/>
  <c r="J212" i="1"/>
  <c r="J210" i="1"/>
  <c r="J208" i="1"/>
  <c r="J206" i="1"/>
  <c r="J204" i="1"/>
  <c r="J202" i="1"/>
  <c r="J196" i="1"/>
  <c r="J190" i="1"/>
  <c r="J188" i="1"/>
  <c r="J186" i="1"/>
  <c r="J180" i="1"/>
  <c r="J171" i="1"/>
  <c r="J169" i="1"/>
  <c r="J172" i="1"/>
  <c r="J170" i="1"/>
  <c r="J168" i="1"/>
  <c r="J167" i="1"/>
  <c r="J220" i="1" l="1"/>
  <c r="J200" i="1"/>
  <c r="J325" i="1"/>
  <c r="J327" i="1"/>
  <c r="J326" i="1" s="1"/>
  <c r="J177" i="1"/>
  <c r="J248" i="1"/>
  <c r="J305" i="1"/>
  <c r="J267" i="1"/>
</calcChain>
</file>

<file path=xl/sharedStrings.xml><?xml version="1.0" encoding="utf-8"?>
<sst xmlns="http://schemas.openxmlformats.org/spreadsheetml/2006/main" count="489" uniqueCount="305">
  <si>
    <t>Circs</t>
  </si>
  <si>
    <t>Construction</t>
  </si>
  <si>
    <t>Business</t>
  </si>
  <si>
    <t>Energy</t>
  </si>
  <si>
    <t># Items</t>
  </si>
  <si>
    <t>School</t>
  </si>
  <si>
    <t>FLE</t>
  </si>
  <si>
    <t>Budget Allocation Calculator</t>
  </si>
  <si>
    <t>Program</t>
  </si>
  <si>
    <t>General</t>
  </si>
  <si>
    <t>eBooks</t>
  </si>
  <si>
    <t>Subtotal (Business)</t>
  </si>
  <si>
    <t>Subtotal (Construction)</t>
  </si>
  <si>
    <t>Adjusted FLE</t>
  </si>
  <si>
    <t>ICT</t>
  </si>
  <si>
    <t>IT Computer Systems</t>
  </si>
  <si>
    <t>IT Network Systems</t>
  </si>
  <si>
    <t>IT Software Development</t>
  </si>
  <si>
    <t>IT Telecom Systems</t>
  </si>
  <si>
    <t>Subtotal (ICT)</t>
  </si>
  <si>
    <t>Legal Assistant (LA)</t>
  </si>
  <si>
    <t>BA Marketing</t>
  </si>
  <si>
    <t>Bachelor of Business Admin (BBA)</t>
  </si>
  <si>
    <t>Administrating Information Management (AIM)</t>
  </si>
  <si>
    <t>HVAC Engineering Technology (ARFP)</t>
  </si>
  <si>
    <t>Architectural Technology (AT)</t>
  </si>
  <si>
    <t>Civil Engineering Technology (CVT)</t>
  </si>
  <si>
    <t>Geomatics Engineering (GNT)</t>
  </si>
  <si>
    <t>Steam/Pipefitter (ASTF)</t>
  </si>
  <si>
    <t>Plumber (APBP)</t>
  </si>
  <si>
    <t>Sheet Metal (ASMP)</t>
  </si>
  <si>
    <t>Bricklayer (ABLP)</t>
  </si>
  <si>
    <t>Carpenter (ACPP)</t>
  </si>
  <si>
    <t>Glazier (AGLZ)</t>
  </si>
  <si>
    <t>Painting &amp; Decorator (APDP)</t>
  </si>
  <si>
    <t>Tilesetter (ATSP)</t>
  </si>
  <si>
    <t>Concrete Finisher (ACFP)</t>
  </si>
  <si>
    <t>Cabinet Maker (ACAP)</t>
  </si>
  <si>
    <t>Gasfitter (AGFP)</t>
  </si>
  <si>
    <t>Insulator (AINP)</t>
  </si>
  <si>
    <t>Information Technology (IT)</t>
  </si>
  <si>
    <t>Electronics Engineering Technology (ENT)</t>
  </si>
  <si>
    <t>Journalism (JA)</t>
  </si>
  <si>
    <t>Broadcast Systems Technology (BXST)</t>
  </si>
  <si>
    <t>Exploration Information Technology (EXPT)</t>
  </si>
  <si>
    <t>Film and Video Production (FVP)</t>
  </si>
  <si>
    <t>Graphic Communications and Print Technology (GCPT)</t>
  </si>
  <si>
    <t>Library Information Technology (LIT)</t>
  </si>
  <si>
    <t>New Media Production &amp; Design (NMPD)</t>
  </si>
  <si>
    <t>Radio, Television and Broadcast News (RTBN)</t>
  </si>
  <si>
    <t>Telecommunications Installation Technician (TINT)</t>
  </si>
  <si>
    <t>Communication Technician</t>
  </si>
  <si>
    <t>Energy Asset Management (EAM)</t>
  </si>
  <si>
    <t>Automation and Instrumentation Technician (AATN)</t>
  </si>
  <si>
    <t>Chemical Engineering Technology (CET)</t>
  </si>
  <si>
    <t>Chemical Laboratory Technology (CLT)</t>
  </si>
  <si>
    <t>Electrical Engineering Technology (EET)</t>
  </si>
  <si>
    <t>Environmental Technology (EVT)</t>
  </si>
  <si>
    <t>Instrumentation Engineering Technology (IIET)</t>
  </si>
  <si>
    <t>Petroleum Engineering (BAPT)</t>
  </si>
  <si>
    <t>Petroleum Engineering Technology (PT)</t>
  </si>
  <si>
    <t>Power and Process Operations (PWPO)</t>
  </si>
  <si>
    <t>Power Engineering Technology (PET)</t>
  </si>
  <si>
    <t>Instrument Technician (AITT)</t>
  </si>
  <si>
    <t>Rig Technician (ARTP)</t>
  </si>
  <si>
    <t>Subtotal (Energy)</t>
  </si>
  <si>
    <t>H &amp; T</t>
  </si>
  <si>
    <t>Baker (ABKP)</t>
  </si>
  <si>
    <t>Cook (ACKP)</t>
  </si>
  <si>
    <t>Baking and Pastry Arts (BPA)</t>
  </si>
  <si>
    <t>Hospitality Management (HMGT)</t>
  </si>
  <si>
    <t>Meat Operations and Management (MOPM)</t>
  </si>
  <si>
    <t>Professional Cooking (PCK)</t>
  </si>
  <si>
    <t>Travel &amp; Tourism (TVT)</t>
  </si>
  <si>
    <t>Subtotal (H &amp; T)</t>
  </si>
  <si>
    <t>Transportation</t>
  </si>
  <si>
    <t>Railway Conductor (RRCD)</t>
  </si>
  <si>
    <t>Aircraft Maintenance Engineers Technology (AMT)</t>
  </si>
  <si>
    <t>Aircraft Structures Technician (ACST)</t>
  </si>
  <si>
    <t>Automotive Service Technology (AST)</t>
  </si>
  <si>
    <t>Avionics Technology (AXT)</t>
  </si>
  <si>
    <t>Automotive Management (AMG)</t>
  </si>
  <si>
    <t>Diesel Equipment Technician (DET)</t>
  </si>
  <si>
    <t>Auto Body Technician - Auto Body Prepper (AABP)</t>
  </si>
  <si>
    <t>Auto Body Technician - Auto Body Refinisher (AABF)</t>
  </si>
  <si>
    <t>Auto Body Technician - Auto Body Repairer (AABR)</t>
  </si>
  <si>
    <t>Automotive Service Technician (AAST)</t>
  </si>
  <si>
    <t>Heavy Equipment Technician (AHET)</t>
  </si>
  <si>
    <t>Parts Technician (APTP)</t>
  </si>
  <si>
    <t>Recreation Vehicle Service Technician (ARVS)</t>
  </si>
  <si>
    <t>Transport Refrigeration Technician (ATRT)</t>
  </si>
  <si>
    <t>Subtotal (Transportation)</t>
  </si>
  <si>
    <t>HPS</t>
  </si>
  <si>
    <t>Dental Assisting (DA)</t>
  </si>
  <si>
    <t>Diagnostic Medical Sonography (DMS)</t>
  </si>
  <si>
    <t>Emergency Medical Technology - Paramedic (EMTP)</t>
  </si>
  <si>
    <t>Health Information Management (HIM)</t>
  </si>
  <si>
    <t>Medical Laboratory Assistant (MLA)</t>
  </si>
  <si>
    <t>Medical Laboratory Technology (MLT)</t>
  </si>
  <si>
    <t>Medical Radiologic Technology (MRT)</t>
  </si>
  <si>
    <t>Medical Transcriptionist (MTR)</t>
  </si>
  <si>
    <t>Nuclear Medicine Technology (NMT)</t>
  </si>
  <si>
    <t>Rehabilitation Therapy Assistant (RHT)</t>
  </si>
  <si>
    <t>Respiratory Therapy (RT)</t>
  </si>
  <si>
    <t>Emergency Medical Technician (EMT)</t>
  </si>
  <si>
    <t>Nutrition for Healthy Lifestyles (NHL)</t>
  </si>
  <si>
    <t>Pharmacy Assistant (PHRM)</t>
  </si>
  <si>
    <t>Sterile Processing Technician (SPT)</t>
  </si>
  <si>
    <t>Subtotal (HPS)</t>
  </si>
  <si>
    <t>M &amp; A</t>
  </si>
  <si>
    <t>Automated Systems Engineering Technology (ASNT)</t>
  </si>
  <si>
    <t>Machinist Technician (MTC)</t>
  </si>
  <si>
    <t>Mechanical Design Technology (MDT)</t>
  </si>
  <si>
    <t>Mechanical Engineering Tech (MET)</t>
  </si>
  <si>
    <t>Millwrighting Technician (MWTN)</t>
  </si>
  <si>
    <t>Welding Engineering Technology (WET)</t>
  </si>
  <si>
    <t>Welding Technician (WDTN)</t>
  </si>
  <si>
    <t>Ironworker (AIWP)</t>
  </si>
  <si>
    <t>Machinist (AMAP)</t>
  </si>
  <si>
    <t>Millwright (AMWP)</t>
  </si>
  <si>
    <t>Welder (AWEP)</t>
  </si>
  <si>
    <t>Electrical Technician (ELTN)</t>
  </si>
  <si>
    <t>Appliance Service Technician (AASP)</t>
  </si>
  <si>
    <t>Electrician (AELP)</t>
  </si>
  <si>
    <t>Electrical Motor Systems Tech (AEMP)</t>
  </si>
  <si>
    <t>M &amp; A (Subtotal)</t>
  </si>
  <si>
    <t>CALS</t>
  </si>
  <si>
    <t>Teaching &amp; Learning Support</t>
  </si>
  <si>
    <t>Bachelor of Science in Construction Project Management</t>
  </si>
  <si>
    <t>Engineering Design &amp; Drafting Technology (EDT)</t>
  </si>
  <si>
    <t>Geographic Info. Systems (GIS)</t>
  </si>
  <si>
    <t>Grand Total</t>
  </si>
  <si>
    <t>Cost/Item</t>
  </si>
  <si>
    <t>Library - Standards</t>
  </si>
  <si>
    <t>Library</t>
  </si>
  <si>
    <t>Fiction collection - Juvenile</t>
  </si>
  <si>
    <t>Fiction collection</t>
  </si>
  <si>
    <t>eBooks - MUPO (ebrary)</t>
  </si>
  <si>
    <t>eBooks - Non-Linear Lending (EBL)</t>
  </si>
  <si>
    <t>eBooks - DDA (EBL)</t>
  </si>
  <si>
    <t>Subtotal (CALS)</t>
  </si>
  <si>
    <t>Subtotal (T&amp;L)</t>
  </si>
  <si>
    <t>Subtotal (Library)</t>
  </si>
  <si>
    <t>BA Accounting</t>
  </si>
  <si>
    <t>Business Administration (BA)</t>
  </si>
  <si>
    <t xml:space="preserve">BA Management </t>
  </si>
  <si>
    <t>BA Finance</t>
  </si>
  <si>
    <t>Fiction collection - Aero</t>
  </si>
  <si>
    <t>H&amp;T</t>
  </si>
  <si>
    <t>M&amp;A</t>
  </si>
  <si>
    <t>T&amp;L</t>
  </si>
  <si>
    <t>Liaison Input</t>
  </si>
  <si>
    <t>Circ</t>
  </si>
  <si>
    <t>Subtotal</t>
  </si>
  <si>
    <t>Coefficient</t>
  </si>
  <si>
    <t>2014 Budget</t>
  </si>
  <si>
    <t>2013 Budget</t>
  </si>
  <si>
    <t>2013 Book Budget</t>
  </si>
  <si>
    <t>L450172030141</t>
  </si>
  <si>
    <t>L4501720301412</t>
  </si>
  <si>
    <t>L4501720301413</t>
  </si>
  <si>
    <t>L4501720301414</t>
  </si>
  <si>
    <t>L4501720301415</t>
  </si>
  <si>
    <t>L450172030142</t>
  </si>
  <si>
    <t>L450172030143</t>
  </si>
  <si>
    <t>L45017203 EBOOKS</t>
  </si>
  <si>
    <t>L45017203</t>
  </si>
  <si>
    <t>L450172030149</t>
  </si>
  <si>
    <t>L240172030012</t>
  </si>
  <si>
    <t>L240172030051</t>
  </si>
  <si>
    <t>L240172030052</t>
  </si>
  <si>
    <t>L240172030053</t>
  </si>
  <si>
    <t>L240172030055</t>
  </si>
  <si>
    <t>L240172030057</t>
  </si>
  <si>
    <t>L240172030312</t>
  </si>
  <si>
    <t>L240172030315</t>
  </si>
  <si>
    <t>L240172030317</t>
  </si>
  <si>
    <t>L240172030331</t>
  </si>
  <si>
    <t>L240172030333</t>
  </si>
  <si>
    <t>L240172030334</t>
  </si>
  <si>
    <t>L240172030336</t>
  </si>
  <si>
    <t>L240172030337</t>
  </si>
  <si>
    <t>L240172030338</t>
  </si>
  <si>
    <t>L240172030332</t>
  </si>
  <si>
    <t>L240172030311</t>
  </si>
  <si>
    <t>L240172030335</t>
  </si>
  <si>
    <t>L240172030058</t>
  </si>
  <si>
    <t>L24017203</t>
  </si>
  <si>
    <t>L24017203 EBOOKS</t>
  </si>
  <si>
    <t>L2501720300771</t>
  </si>
  <si>
    <t>L2501720300772</t>
  </si>
  <si>
    <t>L2501720300773</t>
  </si>
  <si>
    <t>L2501720300774</t>
  </si>
  <si>
    <t>L2501720300775</t>
  </si>
  <si>
    <t>L250172030126</t>
  </si>
  <si>
    <t>L250172030162</t>
  </si>
  <si>
    <t>L250172030163</t>
  </si>
  <si>
    <t>L250172030164</t>
  </si>
  <si>
    <t>L250172030165</t>
  </si>
  <si>
    <t>L250172030168</t>
  </si>
  <si>
    <t>L250172030169</t>
  </si>
  <si>
    <t>L25017203 EBOOKS</t>
  </si>
  <si>
    <t>L25017203</t>
  </si>
  <si>
    <t>L250172030123</t>
  </si>
  <si>
    <t>L250172030341</t>
  </si>
  <si>
    <t>L250172030342</t>
  </si>
  <si>
    <t>L250172030076</t>
  </si>
  <si>
    <t>Process Operations (PWPO)</t>
  </si>
  <si>
    <t>L270172030031</t>
  </si>
  <si>
    <t>L270172030032</t>
  </si>
  <si>
    <t>L270172030096</t>
  </si>
  <si>
    <t>L270172030125</t>
  </si>
  <si>
    <t>L270172030091</t>
  </si>
  <si>
    <t>L270172030093</t>
  </si>
  <si>
    <t>L270172030082</t>
  </si>
  <si>
    <t>L270172032301</t>
  </si>
  <si>
    <t>L27017203</t>
  </si>
  <si>
    <t>L27017203 EBOOKS</t>
  </si>
  <si>
    <t>L270172030081</t>
  </si>
  <si>
    <t>L270172030352</t>
  </si>
  <si>
    <t>L280172030145</t>
  </si>
  <si>
    <t>L280172030146</t>
  </si>
  <si>
    <t>L280172030201</t>
  </si>
  <si>
    <t>L280172030205</t>
  </si>
  <si>
    <t>L280172030206</t>
  </si>
  <si>
    <t>L28017203</t>
  </si>
  <si>
    <t>L28017203 EBOOKS</t>
  </si>
  <si>
    <t>L310172030013</t>
  </si>
  <si>
    <t>L310172030111</t>
  </si>
  <si>
    <t>L310172030112</t>
  </si>
  <si>
    <t>L310172030114</t>
  </si>
  <si>
    <t>L310172030118</t>
  </si>
  <si>
    <t>L310172030119</t>
  </si>
  <si>
    <t>L310172030122</t>
  </si>
  <si>
    <t>L310172030371</t>
  </si>
  <si>
    <t>L310172030374</t>
  </si>
  <si>
    <t>L310172030375</t>
  </si>
  <si>
    <t>L31017203</t>
  </si>
  <si>
    <t>L31017203 EBOOKS</t>
  </si>
  <si>
    <t>L310172030376</t>
  </si>
  <si>
    <t>L310172030373</t>
  </si>
  <si>
    <t>L440172030179</t>
  </si>
  <si>
    <t>L440172030182</t>
  </si>
  <si>
    <t>L440172030183</t>
  </si>
  <si>
    <t>L440172030185</t>
  </si>
  <si>
    <t>L440172030186</t>
  </si>
  <si>
    <t>L440172030187</t>
  </si>
  <si>
    <t>L440172030188</t>
  </si>
  <si>
    <t>L440172030189</t>
  </si>
  <si>
    <t>L440172030190</t>
  </si>
  <si>
    <t>L440172030195</t>
  </si>
  <si>
    <t>L440172030196</t>
  </si>
  <si>
    <t>L440172030197</t>
  </si>
  <si>
    <t>L440172030199</t>
  </si>
  <si>
    <t>L440172030526</t>
  </si>
  <si>
    <t>L440172032059</t>
  </si>
  <si>
    <t>L210172030014</t>
  </si>
  <si>
    <t>L210172030016</t>
  </si>
  <si>
    <t>L210172030020</t>
  </si>
  <si>
    <t>L210172030131</t>
  </si>
  <si>
    <t>L210172030314</t>
  </si>
  <si>
    <t>L21017203</t>
  </si>
  <si>
    <t>L21017203 EBOOKS</t>
  </si>
  <si>
    <t>L210172030394</t>
  </si>
  <si>
    <t>L210172030318</t>
  </si>
  <si>
    <t>L210172030322</t>
  </si>
  <si>
    <t>L210172030393</t>
  </si>
  <si>
    <t>L210172030321</t>
  </si>
  <si>
    <t>L210172030320</t>
  </si>
  <si>
    <t>L210172030021</t>
  </si>
  <si>
    <t>L44017203</t>
  </si>
  <si>
    <t>L44017203 EBOOKS</t>
  </si>
  <si>
    <t>L210172030392</t>
  </si>
  <si>
    <t>L42017203</t>
  </si>
  <si>
    <t>L42017203 EBOOKS</t>
  </si>
  <si>
    <t>L00007203</t>
  </si>
  <si>
    <t>L00007203 EBOOKS</t>
  </si>
  <si>
    <t>Budget:</t>
  </si>
  <si>
    <t>Liaison Input (out of 10)</t>
  </si>
  <si>
    <t>L280172030411</t>
  </si>
  <si>
    <t>L280172030412</t>
  </si>
  <si>
    <t>L270172030353</t>
  </si>
  <si>
    <t>L210172030391</t>
  </si>
  <si>
    <t>Guidelines for Using the Calculator</t>
  </si>
  <si>
    <t>Adjust FLE stats in  proportion to SAIT's overall FLE count (found in SAIT annual report).  General and EBOOK funds receive program average FLE.</t>
  </si>
  <si>
    <t>Enter the total capital budget amount in the top 'Budget' box.</t>
  </si>
  <si>
    <t>Obtain and enter FLE stats for Grant-Funded programs from Mark Wall (mark.wall@sait.ca).</t>
  </si>
  <si>
    <t>Obtain and enter FLE stats for Apprentice programs from Elke Carlson (Elke.Carlson@sait.ca).</t>
  </si>
  <si>
    <t>Obtain and enter Circulation stats from SIRSI reports.  EBOOKS receive the total number of title visits in one calendar year/10, to create an 'EBOOK bonus' multiplier.</t>
  </si>
  <si>
    <t>Request and enter liaison team ratings for need of funding (a likert scale, where 10 = need way more money; 1 = had way too much money; 5 = stay the same)</t>
  </si>
  <si>
    <t>Enter number of items purchased, obtained from SIRSI reports.</t>
  </si>
  <si>
    <t>In calculator, adjust 'Library' special collections to reflect predetermined alloted amounts (leadership team)</t>
  </si>
  <si>
    <t>Copy and distribute '2014 Budget' allotements to liaison support package</t>
  </si>
  <si>
    <t>Obtain and enter updated program codes and programs from banner.*</t>
  </si>
  <si>
    <t>Enter previous year's expendatures (cost)**</t>
  </si>
  <si>
    <t>Enter previous year's initial budget.**</t>
  </si>
  <si>
    <t>**note:  after first year of implementation, the 'previous year's budget' and 'cost' multipliers should be adjusted back to *40 to increase calculated accuracy</t>
  </si>
  <si>
    <t>*note:  gray fields denote missing and/or projected data.  SUMS and AVG formulae must be updated to reflect new data.</t>
  </si>
  <si>
    <t>Enter cost per item, obtained from SIRSI reports.</t>
  </si>
  <si>
    <t>Password:  collection person</t>
  </si>
  <si>
    <t>Print Books Total</t>
  </si>
  <si>
    <t>eBooks Total</t>
  </si>
  <si>
    <t>GST (5%)</t>
  </si>
  <si>
    <t>Standing Orders</t>
  </si>
  <si>
    <t>Spent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</si>
</sst>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4" formatCode="_(&quot;$&quot;* #,##0.00_);_(&quot;$&quot;* \(#,##0.00\);_(&quot;$&quot;* &quot;-&quot;??_);_(@_)"/>
    <numFmt numFmtId="164" formatCode="0.00000"/>
    <numFmt numFmtId="165" formatCode="0.0000"/>
    <numFmt numFmtId="166" formatCode="_(&quot;$&quot;* #,##0_);_(&quot;$&quot;* \(#,##0\);_(&quot;$&quot;* &quot;-&quot;??_);_(@_)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4"/>
      <color theme="0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24"/>
      <color theme="0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theme="1"/>
      <name val="Calibri"/>
      <family val="2"/>
      <scheme val="minor"/>
    </font>
  </fonts>
  <fills count="20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1" tint="0.14999847407452621"/>
        <bgColor indexed="64"/>
      </patternFill>
    </fill>
  </fills>
  <borders count="3">
    <border>
      <left/>
      <right/>
      <top/>
      <bottom/>
      <diagonal/>
    </border>
    <border>
      <left style="medium">
        <color theme="0"/>
      </left>
      <right/>
      <top style="medium">
        <color theme="0"/>
      </top>
      <bottom style="medium">
        <color theme="0"/>
      </bottom>
      <diagonal/>
    </border>
    <border>
      <left/>
      <right style="medium">
        <color theme="0"/>
      </right>
      <top style="medium">
        <color theme="0"/>
      </top>
      <bottom style="medium">
        <color theme="0"/>
      </bottom>
      <diagonal/>
    </border>
  </borders>
  <cellStyleXfs count="3">
    <xf numFmtId="0" fontId="0" fillId="0" borderId="0"/>
    <xf numFmtId="44" fontId="1" fillId="0" borderId="0" applyFont="0" applyFill="0" applyBorder="0" applyAlignment="0" applyProtection="0"/>
    <xf numFmtId="0" fontId="4" fillId="0" borderId="0"/>
  </cellStyleXfs>
  <cellXfs count="170">
    <xf numFmtId="0" fontId="0" fillId="0" borderId="0" xfId="0"/>
    <xf numFmtId="0" fontId="0" fillId="4" borderId="0" xfId="0" applyFill="1"/>
    <xf numFmtId="0" fontId="0" fillId="4" borderId="0" xfId="0" applyFill="1" applyAlignment="1">
      <alignment horizontal="center"/>
    </xf>
    <xf numFmtId="0" fontId="0" fillId="10" borderId="0" xfId="0" applyFill="1" applyAlignment="1">
      <alignment horizontal="center"/>
    </xf>
    <xf numFmtId="0" fontId="0" fillId="12" borderId="0" xfId="0" applyFill="1"/>
    <xf numFmtId="0" fontId="0" fillId="14" borderId="0" xfId="0" applyFill="1"/>
    <xf numFmtId="0" fontId="0" fillId="8" borderId="0" xfId="0" applyFill="1" applyAlignment="1">
      <alignment horizontal="center"/>
    </xf>
    <xf numFmtId="44" fontId="0" fillId="8" borderId="0" xfId="1" applyFont="1" applyFill="1" applyAlignment="1">
      <alignment horizontal="center"/>
    </xf>
    <xf numFmtId="0" fontId="0" fillId="8" borderId="0" xfId="0" applyFill="1" applyAlignment="1">
      <alignment horizontal="center" wrapText="1"/>
    </xf>
    <xf numFmtId="1" fontId="0" fillId="8" borderId="0" xfId="0" applyNumberFormat="1" applyFill="1" applyAlignment="1">
      <alignment horizontal="center"/>
    </xf>
    <xf numFmtId="44" fontId="0" fillId="4" borderId="0" xfId="0" applyNumberFormat="1" applyFill="1" applyAlignment="1">
      <alignment horizontal="center"/>
    </xf>
    <xf numFmtId="0" fontId="0" fillId="4" borderId="0" xfId="0" applyFill="1" applyAlignment="1">
      <alignment horizontal="center" wrapText="1"/>
    </xf>
    <xf numFmtId="44" fontId="0" fillId="4" borderId="0" xfId="1" applyFont="1" applyFill="1" applyAlignment="1">
      <alignment horizontal="center"/>
    </xf>
    <xf numFmtId="1" fontId="0" fillId="4" borderId="0" xfId="0" applyNumberFormat="1" applyFill="1" applyAlignment="1">
      <alignment horizontal="center"/>
    </xf>
    <xf numFmtId="0" fontId="0" fillId="12" borderId="0" xfId="0" applyFill="1" applyAlignment="1">
      <alignment horizontal="center"/>
    </xf>
    <xf numFmtId="0" fontId="0" fillId="14" borderId="0" xfId="0" applyNumberFormat="1" applyFill="1" applyAlignment="1">
      <alignment horizontal="center"/>
    </xf>
    <xf numFmtId="0" fontId="0" fillId="14" borderId="0" xfId="0" applyFill="1" applyAlignment="1">
      <alignment horizontal="center"/>
    </xf>
    <xf numFmtId="0" fontId="0" fillId="15" borderId="0" xfId="0" applyNumberFormat="1" applyFill="1" applyAlignment="1">
      <alignment horizontal="center"/>
    </xf>
    <xf numFmtId="0" fontId="0" fillId="15" borderId="0" xfId="0" applyFill="1" applyAlignment="1">
      <alignment horizontal="center"/>
    </xf>
    <xf numFmtId="0" fontId="0" fillId="13" borderId="0" xfId="0" applyFill="1" applyAlignment="1">
      <alignment horizontal="center"/>
    </xf>
    <xf numFmtId="0" fontId="0" fillId="6" borderId="0" xfId="0" applyFill="1" applyAlignment="1">
      <alignment horizontal="center"/>
    </xf>
    <xf numFmtId="0" fontId="0" fillId="4" borderId="0" xfId="0" applyNumberFormat="1" applyFill="1" applyAlignment="1">
      <alignment horizontal="center"/>
    </xf>
    <xf numFmtId="1" fontId="0" fillId="2" borderId="0" xfId="0" applyNumberFormat="1" applyFill="1" applyAlignment="1">
      <alignment horizontal="center"/>
    </xf>
    <xf numFmtId="0" fontId="0" fillId="2" borderId="0" xfId="0" applyFill="1" applyAlignment="1">
      <alignment horizontal="center"/>
    </xf>
    <xf numFmtId="1" fontId="0" fillId="12" borderId="0" xfId="0" applyNumberFormat="1" applyFill="1" applyAlignment="1">
      <alignment horizontal="center"/>
    </xf>
    <xf numFmtId="1" fontId="0" fillId="14" borderId="0" xfId="0" applyNumberFormat="1" applyFill="1" applyAlignment="1">
      <alignment horizontal="center"/>
    </xf>
    <xf numFmtId="1" fontId="0" fillId="15" borderId="0" xfId="0" applyNumberFormat="1" applyFill="1" applyAlignment="1">
      <alignment horizontal="center"/>
    </xf>
    <xf numFmtId="1" fontId="0" fillId="13" borderId="0" xfId="0" applyNumberFormat="1" applyFill="1" applyAlignment="1">
      <alignment horizontal="center"/>
    </xf>
    <xf numFmtId="1" fontId="0" fillId="6" borderId="0" xfId="0" applyNumberFormat="1" applyFill="1" applyAlignment="1">
      <alignment horizontal="center"/>
    </xf>
    <xf numFmtId="1" fontId="0" fillId="10" borderId="0" xfId="0" applyNumberFormat="1" applyFill="1" applyAlignment="1">
      <alignment horizontal="center"/>
    </xf>
    <xf numFmtId="44" fontId="0" fillId="12" borderId="0" xfId="1" applyFont="1" applyFill="1" applyAlignment="1">
      <alignment horizontal="center"/>
    </xf>
    <xf numFmtId="44" fontId="0" fillId="14" borderId="0" xfId="1" applyFont="1" applyFill="1" applyAlignment="1">
      <alignment horizontal="center"/>
    </xf>
    <xf numFmtId="44" fontId="0" fillId="0" borderId="0" xfId="0" applyNumberFormat="1"/>
    <xf numFmtId="44" fontId="0" fillId="15" borderId="0" xfId="1" applyFont="1" applyFill="1" applyAlignment="1">
      <alignment horizontal="center"/>
    </xf>
    <xf numFmtId="44" fontId="0" fillId="15" borderId="0" xfId="1" applyFont="1" applyFill="1"/>
    <xf numFmtId="44" fontId="0" fillId="13" borderId="0" xfId="1" applyFont="1" applyFill="1" applyAlignment="1">
      <alignment horizontal="center"/>
    </xf>
    <xf numFmtId="44" fontId="0" fillId="6" borderId="0" xfId="1" applyFont="1" applyFill="1" applyAlignment="1">
      <alignment horizontal="center"/>
    </xf>
    <xf numFmtId="44" fontId="0" fillId="10" borderId="0" xfId="1" applyFont="1" applyFill="1" applyAlignment="1">
      <alignment horizontal="center"/>
    </xf>
    <xf numFmtId="44" fontId="0" fillId="0" borderId="0" xfId="1" applyFont="1"/>
    <xf numFmtId="44" fontId="0" fillId="14" borderId="0" xfId="1" applyFont="1" applyFill="1"/>
    <xf numFmtId="44" fontId="0" fillId="4" borderId="0" xfId="1" applyFont="1" applyFill="1"/>
    <xf numFmtId="44" fontId="0" fillId="12" borderId="0" xfId="1" applyFont="1" applyFill="1"/>
    <xf numFmtId="44" fontId="0" fillId="8" borderId="0" xfId="1" applyFont="1" applyFill="1"/>
    <xf numFmtId="1" fontId="2" fillId="19" borderId="0" xfId="0" applyNumberFormat="1" applyFont="1" applyFill="1"/>
    <xf numFmtId="44" fontId="2" fillId="19" borderId="0" xfId="1" applyFont="1" applyFill="1"/>
    <xf numFmtId="0" fontId="0" fillId="8" borderId="0" xfId="0" applyNumberFormat="1" applyFill="1" applyAlignment="1">
      <alignment horizontal="center"/>
    </xf>
    <xf numFmtId="0" fontId="0" fillId="12" borderId="0" xfId="0" applyNumberFormat="1" applyFill="1" applyAlignment="1">
      <alignment horizontal="center"/>
    </xf>
    <xf numFmtId="0" fontId="0" fillId="13" borderId="0" xfId="0" applyNumberFormat="1" applyFill="1" applyAlignment="1">
      <alignment horizontal="center"/>
    </xf>
    <xf numFmtId="0" fontId="0" fillId="6" borderId="0" xfId="0" applyNumberFormat="1" applyFill="1" applyAlignment="1">
      <alignment horizontal="center"/>
    </xf>
    <xf numFmtId="0" fontId="0" fillId="10" borderId="0" xfId="0" applyNumberFormat="1" applyFill="1" applyAlignment="1">
      <alignment horizontal="center"/>
    </xf>
    <xf numFmtId="0" fontId="2" fillId="19" borderId="0" xfId="0" applyNumberFormat="1" applyFont="1" applyFill="1" applyAlignment="1">
      <alignment horizontal="center" wrapText="1"/>
    </xf>
    <xf numFmtId="0" fontId="0" fillId="0" borderId="0" xfId="0" applyNumberFormat="1" applyAlignment="1">
      <alignment horizontal="center"/>
    </xf>
    <xf numFmtId="0" fontId="2" fillId="19" borderId="0" xfId="0" applyNumberFormat="1" applyFont="1" applyFill="1" applyAlignment="1">
      <alignment horizontal="center"/>
    </xf>
    <xf numFmtId="0" fontId="2" fillId="19" borderId="0" xfId="0" applyFont="1" applyFill="1" applyAlignment="1"/>
    <xf numFmtId="0" fontId="0" fillId="8" borderId="0" xfId="0" applyFill="1" applyAlignment="1"/>
    <xf numFmtId="0" fontId="0" fillId="4" borderId="0" xfId="0" applyFill="1" applyAlignment="1"/>
    <xf numFmtId="0" fontId="0" fillId="12" borderId="0" xfId="0" applyFill="1" applyAlignment="1"/>
    <xf numFmtId="44" fontId="0" fillId="12" borderId="0" xfId="0" applyNumberFormat="1" applyFill="1" applyAlignment="1"/>
    <xf numFmtId="0" fontId="0" fillId="14" borderId="0" xfId="0" applyFill="1" applyAlignment="1"/>
    <xf numFmtId="0" fontId="0" fillId="15" borderId="0" xfId="0" applyFill="1" applyAlignment="1"/>
    <xf numFmtId="0" fontId="0" fillId="13" borderId="0" xfId="0" applyFill="1" applyAlignment="1"/>
    <xf numFmtId="0" fontId="0" fillId="6" borderId="0" xfId="0" applyFill="1" applyAlignment="1"/>
    <xf numFmtId="0" fontId="0" fillId="10" borderId="0" xfId="0" applyFill="1" applyAlignment="1"/>
    <xf numFmtId="0" fontId="0" fillId="0" borderId="0" xfId="0" applyAlignment="1"/>
    <xf numFmtId="164" fontId="0" fillId="0" borderId="0" xfId="0" applyNumberFormat="1"/>
    <xf numFmtId="0" fontId="0" fillId="0" borderId="0" xfId="1" applyNumberFormat="1" applyFont="1"/>
    <xf numFmtId="44" fontId="0" fillId="2" borderId="0" xfId="1" applyFont="1" applyFill="1" applyAlignment="1">
      <alignment horizontal="center"/>
    </xf>
    <xf numFmtId="0" fontId="0" fillId="2" borderId="0" xfId="0" applyFill="1" applyAlignment="1">
      <alignment horizontal="center" wrapText="1"/>
    </xf>
    <xf numFmtId="0" fontId="0" fillId="2" borderId="0" xfId="0" applyNumberFormat="1" applyFill="1" applyAlignment="1">
      <alignment horizontal="center"/>
    </xf>
    <xf numFmtId="44" fontId="0" fillId="2" borderId="0" xfId="0" applyNumberFormat="1" applyFill="1" applyAlignment="1">
      <alignment horizontal="center"/>
    </xf>
    <xf numFmtId="44" fontId="0" fillId="2" borderId="0" xfId="1" applyFont="1" applyFill="1"/>
    <xf numFmtId="44" fontId="0" fillId="2" borderId="0" xfId="0" applyNumberFormat="1" applyFill="1"/>
    <xf numFmtId="44" fontId="3" fillId="0" borderId="0" xfId="1" applyFont="1"/>
    <xf numFmtId="0" fontId="3" fillId="0" borderId="0" xfId="1" applyNumberFormat="1" applyFont="1"/>
    <xf numFmtId="165" fontId="0" fillId="0" borderId="0" xfId="0" applyNumberFormat="1"/>
    <xf numFmtId="0" fontId="0" fillId="2" borderId="0" xfId="0" applyFill="1" applyAlignment="1"/>
    <xf numFmtId="0" fontId="2" fillId="19" borderId="0" xfId="0" applyFont="1" applyFill="1" applyAlignment="1">
      <alignment horizontal="center" wrapText="1"/>
    </xf>
    <xf numFmtId="0" fontId="0" fillId="4" borderId="0" xfId="0" applyFill="1" applyAlignment="1">
      <alignment horizontal="left"/>
    </xf>
    <xf numFmtId="0" fontId="0" fillId="2" borderId="0" xfId="0" applyFill="1" applyAlignment="1">
      <alignment horizontal="left"/>
    </xf>
    <xf numFmtId="0" fontId="6" fillId="11" borderId="0" xfId="0" applyFont="1" applyFill="1"/>
    <xf numFmtId="0" fontId="6" fillId="11" borderId="0" xfId="0" applyFont="1" applyFill="1" applyAlignment="1"/>
    <xf numFmtId="0" fontId="6" fillId="11" borderId="0" xfId="0" applyNumberFormat="1" applyFont="1" applyFill="1" applyAlignment="1">
      <alignment horizontal="center"/>
    </xf>
    <xf numFmtId="1" fontId="6" fillId="11" borderId="0" xfId="0" applyNumberFormat="1" applyFont="1" applyFill="1" applyAlignment="1">
      <alignment horizontal="center"/>
    </xf>
    <xf numFmtId="0" fontId="6" fillId="11" borderId="0" xfId="0" applyFont="1" applyFill="1" applyAlignment="1">
      <alignment horizontal="center"/>
    </xf>
    <xf numFmtId="44" fontId="6" fillId="11" borderId="0" xfId="0" applyNumberFormat="1" applyFont="1" applyFill="1" applyAlignment="1">
      <alignment horizontal="center"/>
    </xf>
    <xf numFmtId="44" fontId="6" fillId="11" borderId="0" xfId="1" applyFont="1" applyFill="1" applyAlignment="1">
      <alignment horizontal="center"/>
    </xf>
    <xf numFmtId="0" fontId="6" fillId="5" borderId="0" xfId="0" applyFont="1" applyFill="1"/>
    <xf numFmtId="0" fontId="6" fillId="5" borderId="0" xfId="0" applyFont="1" applyFill="1" applyAlignment="1"/>
    <xf numFmtId="0" fontId="6" fillId="5" borderId="0" xfId="0" applyFont="1" applyFill="1" applyAlignment="1">
      <alignment horizontal="center"/>
    </xf>
    <xf numFmtId="1" fontId="6" fillId="5" borderId="0" xfId="0" applyNumberFormat="1" applyFont="1" applyFill="1" applyAlignment="1">
      <alignment horizontal="center"/>
    </xf>
    <xf numFmtId="44" fontId="6" fillId="5" borderId="0" xfId="0" applyNumberFormat="1" applyFont="1" applyFill="1" applyAlignment="1">
      <alignment horizontal="center"/>
    </xf>
    <xf numFmtId="44" fontId="6" fillId="5" borderId="0" xfId="1" applyFont="1" applyFill="1" applyAlignment="1">
      <alignment horizontal="center"/>
    </xf>
    <xf numFmtId="0" fontId="6" fillId="5" borderId="0" xfId="0" applyNumberFormat="1" applyFont="1" applyFill="1" applyAlignment="1">
      <alignment horizontal="center"/>
    </xf>
    <xf numFmtId="0" fontId="6" fillId="3" borderId="0" xfId="0" applyFont="1" applyFill="1"/>
    <xf numFmtId="0" fontId="6" fillId="16" borderId="0" xfId="0" applyFont="1" applyFill="1" applyAlignment="1"/>
    <xf numFmtId="0" fontId="6" fillId="16" borderId="0" xfId="0" applyFont="1" applyFill="1" applyAlignment="1">
      <alignment horizontal="center"/>
    </xf>
    <xf numFmtId="1" fontId="6" fillId="16" borderId="0" xfId="0" applyNumberFormat="1" applyFont="1" applyFill="1" applyAlignment="1">
      <alignment horizontal="center"/>
    </xf>
    <xf numFmtId="44" fontId="6" fillId="16" borderId="0" xfId="1" applyFont="1" applyFill="1" applyAlignment="1">
      <alignment horizontal="center"/>
    </xf>
    <xf numFmtId="0" fontId="6" fillId="16" borderId="0" xfId="0" applyNumberFormat="1" applyFont="1" applyFill="1" applyAlignment="1">
      <alignment horizontal="center"/>
    </xf>
    <xf numFmtId="0" fontId="5" fillId="13" borderId="0" xfId="0" applyFont="1" applyFill="1" applyAlignment="1"/>
    <xf numFmtId="0" fontId="5" fillId="13" borderId="0" xfId="0" applyFont="1" applyFill="1" applyAlignment="1">
      <alignment horizontal="center"/>
    </xf>
    <xf numFmtId="1" fontId="5" fillId="13" borderId="0" xfId="0" applyNumberFormat="1" applyFont="1" applyFill="1" applyAlignment="1">
      <alignment horizontal="center"/>
    </xf>
    <xf numFmtId="44" fontId="5" fillId="13" borderId="0" xfId="1" applyFont="1" applyFill="1" applyAlignment="1">
      <alignment horizontal="center"/>
    </xf>
    <xf numFmtId="0" fontId="5" fillId="13" borderId="0" xfId="0" applyNumberFormat="1" applyFont="1" applyFill="1" applyAlignment="1">
      <alignment horizontal="center"/>
    </xf>
    <xf numFmtId="0" fontId="6" fillId="17" borderId="0" xfId="0" applyFont="1" applyFill="1" applyAlignment="1"/>
    <xf numFmtId="0" fontId="6" fillId="17" borderId="0" xfId="0" applyFont="1" applyFill="1" applyAlignment="1">
      <alignment horizontal="center"/>
    </xf>
    <xf numFmtId="1" fontId="6" fillId="17" borderId="0" xfId="0" applyNumberFormat="1" applyFont="1" applyFill="1" applyAlignment="1">
      <alignment horizontal="center"/>
    </xf>
    <xf numFmtId="44" fontId="6" fillId="17" borderId="0" xfId="1" applyFont="1" applyFill="1" applyAlignment="1">
      <alignment horizontal="center"/>
    </xf>
    <xf numFmtId="0" fontId="6" fillId="17" borderId="0" xfId="0" applyNumberFormat="1" applyFont="1" applyFill="1" applyAlignment="1">
      <alignment horizontal="center"/>
    </xf>
    <xf numFmtId="0" fontId="6" fillId="7" borderId="0" xfId="0" applyFont="1" applyFill="1" applyAlignment="1"/>
    <xf numFmtId="0" fontId="6" fillId="7" borderId="0" xfId="0" applyFont="1" applyFill="1" applyAlignment="1">
      <alignment horizontal="center"/>
    </xf>
    <xf numFmtId="1" fontId="6" fillId="7" borderId="0" xfId="0" applyNumberFormat="1" applyFont="1" applyFill="1" applyAlignment="1">
      <alignment horizontal="center"/>
    </xf>
    <xf numFmtId="44" fontId="6" fillId="7" borderId="0" xfId="1" applyFont="1" applyFill="1" applyAlignment="1">
      <alignment horizontal="center"/>
    </xf>
    <xf numFmtId="0" fontId="6" fillId="7" borderId="0" xfId="0" applyNumberFormat="1" applyFont="1" applyFill="1" applyAlignment="1">
      <alignment horizontal="center"/>
    </xf>
    <xf numFmtId="0" fontId="6" fillId="18" borderId="0" xfId="0" applyFont="1" applyFill="1" applyAlignment="1"/>
    <xf numFmtId="0" fontId="6" fillId="18" borderId="0" xfId="0" applyFont="1" applyFill="1" applyAlignment="1">
      <alignment horizontal="center"/>
    </xf>
    <xf numFmtId="1" fontId="6" fillId="18" borderId="0" xfId="0" applyNumberFormat="1" applyFont="1" applyFill="1" applyAlignment="1">
      <alignment horizontal="center"/>
    </xf>
    <xf numFmtId="44" fontId="6" fillId="18" borderId="0" xfId="1" applyFont="1" applyFill="1" applyAlignment="1">
      <alignment horizontal="center"/>
    </xf>
    <xf numFmtId="0" fontId="6" fillId="18" borderId="0" xfId="0" applyNumberFormat="1" applyFont="1" applyFill="1" applyAlignment="1">
      <alignment horizontal="center"/>
    </xf>
    <xf numFmtId="0" fontId="6" fillId="3" borderId="0" xfId="0" applyFont="1" applyFill="1" applyAlignment="1"/>
    <xf numFmtId="1" fontId="6" fillId="3" borderId="0" xfId="0" applyNumberFormat="1" applyFont="1" applyFill="1" applyAlignment="1">
      <alignment horizontal="center"/>
    </xf>
    <xf numFmtId="0" fontId="6" fillId="3" borderId="0" xfId="0" applyFont="1" applyFill="1" applyAlignment="1">
      <alignment horizontal="center"/>
    </xf>
    <xf numFmtId="44" fontId="6" fillId="3" borderId="0" xfId="1" applyFont="1" applyFill="1"/>
    <xf numFmtId="0" fontId="6" fillId="3" borderId="0" xfId="0" applyNumberFormat="1" applyFont="1" applyFill="1" applyAlignment="1">
      <alignment horizontal="center"/>
    </xf>
    <xf numFmtId="44" fontId="6" fillId="5" borderId="0" xfId="1" applyFont="1" applyFill="1"/>
    <xf numFmtId="1" fontId="6" fillId="11" borderId="0" xfId="0" applyNumberFormat="1" applyFont="1" applyFill="1"/>
    <xf numFmtId="44" fontId="6" fillId="11" borderId="0" xfId="1" applyFont="1" applyFill="1"/>
    <xf numFmtId="166" fontId="0" fillId="0" borderId="0" xfId="1" applyNumberFormat="1" applyFont="1"/>
    <xf numFmtId="166" fontId="3" fillId="0" borderId="0" xfId="1" applyNumberFormat="1" applyFont="1"/>
    <xf numFmtId="166" fontId="3" fillId="0" borderId="0" xfId="1" applyNumberFormat="1" applyFont="1" applyAlignment="1">
      <alignment horizontal="center"/>
    </xf>
    <xf numFmtId="0" fontId="0" fillId="19" borderId="0" xfId="0" applyFill="1"/>
    <xf numFmtId="0" fontId="0" fillId="19" borderId="0" xfId="0" applyFill="1" applyAlignment="1"/>
    <xf numFmtId="0" fontId="0" fillId="19" borderId="0" xfId="0" applyNumberFormat="1" applyFill="1" applyAlignment="1">
      <alignment horizontal="center"/>
    </xf>
    <xf numFmtId="0" fontId="7" fillId="19" borderId="0" xfId="0" applyFont="1" applyFill="1" applyBorder="1" applyAlignment="1">
      <alignment wrapText="1"/>
    </xf>
    <xf numFmtId="44" fontId="0" fillId="19" borderId="0" xfId="1" applyFont="1" applyFill="1" applyBorder="1" applyAlignment="1"/>
    <xf numFmtId="44" fontId="0" fillId="19" borderId="0" xfId="1" applyFont="1" applyFill="1" applyBorder="1"/>
    <xf numFmtId="44" fontId="2" fillId="19" borderId="0" xfId="1" applyFont="1" applyFill="1" applyAlignment="1">
      <alignment horizontal="center" wrapText="1"/>
    </xf>
    <xf numFmtId="44" fontId="2" fillId="19" borderId="0" xfId="1" applyFont="1" applyFill="1" applyAlignment="1">
      <alignment horizontal="right" wrapText="1"/>
    </xf>
    <xf numFmtId="0" fontId="5" fillId="8" borderId="0" xfId="0" applyFont="1" applyFill="1" applyAlignment="1"/>
    <xf numFmtId="0" fontId="6" fillId="9" borderId="0" xfId="0" applyFont="1" applyFill="1" applyAlignment="1"/>
    <xf numFmtId="0" fontId="5" fillId="4" borderId="0" xfId="0" applyFont="1" applyFill="1" applyAlignment="1"/>
    <xf numFmtId="0" fontId="5" fillId="12" borderId="0" xfId="0" applyFont="1" applyFill="1" applyAlignment="1"/>
    <xf numFmtId="0" fontId="5" fillId="14" borderId="0" xfId="0" applyFont="1" applyFill="1" applyAlignment="1"/>
    <xf numFmtId="0" fontId="5" fillId="15" borderId="0" xfId="0" applyFont="1" applyFill="1" applyAlignment="1"/>
    <xf numFmtId="0" fontId="5" fillId="6" borderId="0" xfId="0" applyFont="1" applyFill="1" applyAlignment="1"/>
    <xf numFmtId="0" fontId="5" fillId="10" borderId="0" xfId="0" applyFont="1" applyFill="1" applyAlignment="1"/>
    <xf numFmtId="0" fontId="8" fillId="19" borderId="0" xfId="0" applyFont="1" applyFill="1" applyAlignment="1"/>
    <xf numFmtId="44" fontId="9" fillId="0" borderId="0" xfId="1" applyFont="1"/>
    <xf numFmtId="0" fontId="9" fillId="0" borderId="0" xfId="1" applyNumberFormat="1" applyFont="1"/>
    <xf numFmtId="44" fontId="9" fillId="0" borderId="0" xfId="1" applyNumberFormat="1" applyFont="1" applyAlignment="1">
      <alignment horizontal="center"/>
    </xf>
    <xf numFmtId="2" fontId="6" fillId="5" borderId="0" xfId="0" applyNumberFormat="1" applyFont="1" applyFill="1" applyAlignment="1">
      <alignment horizontal="center"/>
    </xf>
    <xf numFmtId="2" fontId="6" fillId="11" borderId="0" xfId="0" applyNumberFormat="1" applyFont="1" applyFill="1" applyAlignment="1">
      <alignment horizontal="center"/>
    </xf>
    <xf numFmtId="2" fontId="6" fillId="16" borderId="0" xfId="0" applyNumberFormat="1" applyFont="1" applyFill="1" applyAlignment="1">
      <alignment horizontal="center"/>
    </xf>
    <xf numFmtId="2" fontId="6" fillId="7" borderId="0" xfId="0" applyNumberFormat="1" applyFont="1" applyFill="1" applyAlignment="1">
      <alignment horizontal="center"/>
    </xf>
    <xf numFmtId="2" fontId="6" fillId="18" borderId="0" xfId="0" applyNumberFormat="1" applyFont="1" applyFill="1" applyAlignment="1">
      <alignment horizontal="center"/>
    </xf>
    <xf numFmtId="0" fontId="2" fillId="19" borderId="0" xfId="0" applyFont="1" applyFill="1" applyAlignment="1">
      <alignment horizontal="center"/>
    </xf>
    <xf numFmtId="1" fontId="6" fillId="9" borderId="0" xfId="0" applyNumberFormat="1" applyFont="1" applyFill="1" applyAlignment="1">
      <alignment horizontal="center"/>
    </xf>
    <xf numFmtId="0" fontId="6" fillId="9" borderId="0" xfId="0" applyFont="1" applyFill="1" applyAlignment="1">
      <alignment horizontal="center"/>
    </xf>
    <xf numFmtId="44" fontId="6" fillId="9" borderId="0" xfId="0" applyNumberFormat="1" applyFont="1" applyFill="1" applyAlignment="1">
      <alignment horizontal="center"/>
    </xf>
    <xf numFmtId="0" fontId="6" fillId="9" borderId="0" xfId="0" applyFont="1" applyFill="1" applyAlignment="1">
      <alignment horizontal="center" wrapText="1"/>
    </xf>
    <xf numFmtId="44" fontId="6" fillId="9" borderId="0" xfId="1" applyFont="1" applyFill="1" applyAlignment="1">
      <alignment horizontal="center"/>
    </xf>
    <xf numFmtId="0" fontId="6" fillId="9" borderId="0" xfId="0" applyNumberFormat="1" applyFont="1" applyFill="1" applyAlignment="1">
      <alignment horizontal="center"/>
    </xf>
    <xf numFmtId="44" fontId="6" fillId="3" borderId="0" xfId="0" applyNumberFormat="1" applyFont="1" applyFill="1" applyAlignment="1">
      <alignment horizontal="center"/>
    </xf>
    <xf numFmtId="2" fontId="6" fillId="3" borderId="0" xfId="0" applyNumberFormat="1" applyFont="1" applyFill="1" applyAlignment="1">
      <alignment horizontal="center" wrapText="1"/>
    </xf>
    <xf numFmtId="44" fontId="6" fillId="3" borderId="0" xfId="1" applyFont="1" applyFill="1" applyAlignment="1">
      <alignment horizontal="center"/>
    </xf>
    <xf numFmtId="2" fontId="0" fillId="0" borderId="0" xfId="0" applyNumberFormat="1"/>
    <xf numFmtId="44" fontId="7" fillId="19" borderId="1" xfId="1" applyFont="1" applyFill="1" applyBorder="1" applyAlignment="1">
      <alignment horizontal="center"/>
    </xf>
    <xf numFmtId="44" fontId="7" fillId="19" borderId="2" xfId="1" applyFont="1" applyFill="1" applyBorder="1" applyAlignment="1">
      <alignment horizontal="center"/>
    </xf>
    <xf numFmtId="0" fontId="7" fillId="19" borderId="0" xfId="0" applyFont="1" applyFill="1" applyAlignment="1">
      <alignment horizontal="center" wrapText="1"/>
    </xf>
    <xf numFmtId="0" fontId="6" fillId="0" borderId="0" xfId="0" applyFont="1" applyAlignment="1">
      <alignment horizontal="center"/>
    </xf>
  </cellXfs>
  <cellStyles count="3">
    <cellStyle name="Currency" xfId="1" builtinId="4"/>
    <cellStyle name="Normal" xfId="0" builtinId="0"/>
    <cellStyle name="Normal 2" xfId="2"/>
  </cellStyles>
  <dxfs count="7"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numFmt numFmtId="34" formatCode="_(&quot;$&quot;* #,##0.00_);_(&quot;$&quot;* \(#,##0.00\);_(&quot;$&quot;* &quot;-&quot;??_);_(@_)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numFmt numFmtId="0" formatCode="General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</dxf>
    <dxf>
      <alignment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ables/table1.xml><?xml version="1.0" encoding="utf-8"?>
<table xmlns="http://schemas.openxmlformats.org/spreadsheetml/2006/main" id="5" name="Table26" displayName="Table26" ref="A165:J328" totalsRowShown="0" headerRowDxfId="6" dataDxfId="5" headerRowCellStyle="Currency" dataCellStyle="Currency">
  <autoFilter ref="A165:J328"/>
  <tableColumns count="10">
    <tableColumn id="1" name="School" dataDxfId="4"/>
    <tableColumn id="12" name="Program"/>
    <tableColumn id="4" name="Adjusted FLE">
      <calculatedColumnFormula>#REF!/#REF!*20</calculatedColumnFormula>
    </tableColumn>
    <tableColumn id="5" name="Circ"/>
    <tableColumn id="6" name="2013 Budget"/>
    <tableColumn id="7" name="Liaison Input"/>
    <tableColumn id="8" name="Spent" dataDxfId="3" dataCellStyle="Currency"/>
    <tableColumn id="11" name="Cost/Item" dataDxfId="2" dataCellStyle="Currency"/>
    <tableColumn id="2" name="Coefficient" dataDxfId="1" dataCellStyle="Currency">
      <calculatedColumnFormula>SUM(Table26[[#This Row],[Adjusted FLE]:[Cost/Item]])</calculatedColumnFormula>
    </tableColumn>
    <tableColumn id="3" name="2014 Budget" dataDxfId="0" dataCellStyle="Currency">
      <calculatedColumnFormula>Table26[[#This Row],[Coefficient]]/$I$328*300000</calculatedColumnFormula>
    </tableColumn>
  </tableColumns>
  <tableStyleInfo name="TableStyleLight1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328"/>
  <sheetViews>
    <sheetView tabSelected="1" zoomScale="70" zoomScaleNormal="70" workbookViewId="0">
      <selection activeCell="K16" sqref="K16"/>
    </sheetView>
  </sheetViews>
  <sheetFormatPr defaultRowHeight="15" x14ac:dyDescent="0.25"/>
  <cols>
    <col min="1" max="1" width="29.5703125" style="63" customWidth="1"/>
    <col min="2" max="2" width="59.42578125" style="63" bestFit="1" customWidth="1"/>
    <col min="3" max="3" width="15.28515625" bestFit="1" customWidth="1"/>
    <col min="4" max="4" width="15.5703125" bestFit="1" customWidth="1"/>
    <col min="5" max="5" width="15.140625" bestFit="1" customWidth="1"/>
    <col min="6" max="6" width="16.7109375" customWidth="1"/>
    <col min="7" max="7" width="19.42578125" customWidth="1"/>
    <col min="8" max="8" width="17.5703125" style="38" bestFit="1" customWidth="1"/>
    <col min="9" max="9" width="15.85546875" style="38" customWidth="1"/>
    <col min="10" max="10" width="15.7109375" style="51" customWidth="1"/>
    <col min="11" max="11" width="16.5703125" style="38" customWidth="1"/>
    <col min="12" max="12" width="16.140625" customWidth="1"/>
    <col min="13" max="13" width="13.42578125" customWidth="1"/>
    <col min="14" max="14" width="11.5703125" bestFit="1" customWidth="1"/>
  </cols>
  <sheetData>
    <row r="1" spans="1:12" ht="15.75" thickBot="1" x14ac:dyDescent="0.3">
      <c r="A1" s="146"/>
      <c r="B1" s="131"/>
      <c r="C1" s="130"/>
      <c r="D1" s="130"/>
      <c r="E1" s="130"/>
      <c r="F1" s="130"/>
      <c r="G1" s="130"/>
      <c r="H1" s="135"/>
      <c r="I1" s="135"/>
      <c r="J1" s="132"/>
    </row>
    <row r="2" spans="1:12" ht="36.75" customHeight="1" thickBot="1" x14ac:dyDescent="0.55000000000000004">
      <c r="A2" s="168" t="s">
        <v>7</v>
      </c>
      <c r="B2" s="168"/>
      <c r="C2" s="168"/>
      <c r="D2" s="168"/>
      <c r="E2" s="168"/>
      <c r="F2" s="168"/>
      <c r="G2" s="133" t="s">
        <v>277</v>
      </c>
      <c r="H2" s="166">
        <v>300000</v>
      </c>
      <c r="I2" s="167"/>
      <c r="J2" s="134"/>
      <c r="K2"/>
    </row>
    <row r="3" spans="1:12" ht="42" customHeight="1" x14ac:dyDescent="0.3">
      <c r="A3" s="53" t="s">
        <v>5</v>
      </c>
      <c r="B3" s="53" t="s">
        <v>8</v>
      </c>
      <c r="C3" s="76" t="s">
        <v>6</v>
      </c>
      <c r="D3" s="76" t="s">
        <v>13</v>
      </c>
      <c r="E3" s="76" t="s">
        <v>0</v>
      </c>
      <c r="F3" s="76" t="s">
        <v>157</v>
      </c>
      <c r="G3" s="76" t="s">
        <v>278</v>
      </c>
      <c r="H3" s="136" t="s">
        <v>304</v>
      </c>
      <c r="I3" s="50" t="s">
        <v>4</v>
      </c>
      <c r="J3" s="137" t="s">
        <v>132</v>
      </c>
      <c r="K3"/>
    </row>
    <row r="4" spans="1:12" ht="18.75" x14ac:dyDescent="0.3">
      <c r="A4" s="138" t="s">
        <v>2</v>
      </c>
      <c r="B4" s="54"/>
      <c r="C4" s="6"/>
      <c r="D4" s="9"/>
      <c r="E4" s="6"/>
      <c r="F4" s="7"/>
      <c r="G4" s="8"/>
      <c r="H4" s="7"/>
      <c r="I4" s="45"/>
      <c r="J4" s="7"/>
      <c r="K4"/>
    </row>
    <row r="5" spans="1:12" x14ac:dyDescent="0.25">
      <c r="A5" s="54" t="s">
        <v>164</v>
      </c>
      <c r="B5" s="54" t="s">
        <v>23</v>
      </c>
      <c r="C5" s="9">
        <f>89</f>
        <v>89</v>
      </c>
      <c r="D5" s="9">
        <f>C5*1.8</f>
        <v>160.20000000000002</v>
      </c>
      <c r="E5" s="6">
        <v>1364</v>
      </c>
      <c r="F5" s="7">
        <v>1700</v>
      </c>
      <c r="G5" s="8">
        <v>4</v>
      </c>
      <c r="H5" s="7">
        <v>1653.1</v>
      </c>
      <c r="I5" s="45">
        <v>25</v>
      </c>
      <c r="J5" s="7">
        <v>66.12</v>
      </c>
      <c r="K5"/>
      <c r="L5" s="32"/>
    </row>
    <row r="6" spans="1:12" x14ac:dyDescent="0.25">
      <c r="A6" s="54" t="s">
        <v>158</v>
      </c>
      <c r="B6" s="54" t="s">
        <v>144</v>
      </c>
      <c r="C6" s="9">
        <f>464</f>
        <v>464</v>
      </c>
      <c r="D6" s="9">
        <f>C6*1.8</f>
        <v>835.2</v>
      </c>
      <c r="E6" s="6">
        <v>1364</v>
      </c>
      <c r="F6" s="7">
        <v>500</v>
      </c>
      <c r="G6" s="8">
        <v>5</v>
      </c>
      <c r="H6" s="7">
        <v>483.4</v>
      </c>
      <c r="I6" s="45">
        <v>6</v>
      </c>
      <c r="J6" s="7">
        <f>H6/I6</f>
        <v>80.566666666666663</v>
      </c>
      <c r="K6"/>
      <c r="L6" s="32"/>
    </row>
    <row r="7" spans="1:12" x14ac:dyDescent="0.25">
      <c r="A7" s="54" t="s">
        <v>162</v>
      </c>
      <c r="B7" s="54" t="s">
        <v>145</v>
      </c>
      <c r="C7" s="22"/>
      <c r="D7" s="22">
        <f>AVERAGE(D5:D6,D11,D12)</f>
        <v>400.05000000000007</v>
      </c>
      <c r="E7" s="6">
        <v>1364</v>
      </c>
      <c r="F7" s="7">
        <v>3600</v>
      </c>
      <c r="G7" s="8">
        <v>5</v>
      </c>
      <c r="H7" s="42">
        <v>3528.78</v>
      </c>
      <c r="I7" s="45">
        <v>79</v>
      </c>
      <c r="J7" s="42">
        <v>44.67</v>
      </c>
      <c r="K7"/>
    </row>
    <row r="8" spans="1:12" x14ac:dyDescent="0.25">
      <c r="A8" s="54" t="s">
        <v>159</v>
      </c>
      <c r="B8" s="54" t="s">
        <v>143</v>
      </c>
      <c r="C8" s="22"/>
      <c r="D8" s="22">
        <v>400.05000000000007</v>
      </c>
      <c r="E8" s="6">
        <v>1364</v>
      </c>
      <c r="F8" s="7">
        <v>5500</v>
      </c>
      <c r="G8" s="8">
        <v>10</v>
      </c>
      <c r="H8" s="7">
        <v>5452.11</v>
      </c>
      <c r="I8" s="45">
        <v>52</v>
      </c>
      <c r="J8" s="7">
        <v>104.85</v>
      </c>
      <c r="K8"/>
    </row>
    <row r="9" spans="1:12" x14ac:dyDescent="0.25">
      <c r="A9" s="54" t="s">
        <v>160</v>
      </c>
      <c r="B9" s="54" t="s">
        <v>146</v>
      </c>
      <c r="C9" s="22"/>
      <c r="D9" s="22">
        <v>400.05000000000007</v>
      </c>
      <c r="E9" s="6">
        <v>1364</v>
      </c>
      <c r="F9" s="7">
        <v>6700</v>
      </c>
      <c r="G9" s="8">
        <v>4</v>
      </c>
      <c r="H9" s="7">
        <v>6452.81</v>
      </c>
      <c r="I9" s="45">
        <v>99</v>
      </c>
      <c r="J9" s="7">
        <v>65.180000000000007</v>
      </c>
      <c r="K9" s="32"/>
    </row>
    <row r="10" spans="1:12" x14ac:dyDescent="0.25">
      <c r="A10" s="54" t="s">
        <v>161</v>
      </c>
      <c r="B10" s="54" t="s">
        <v>21</v>
      </c>
      <c r="C10" s="22"/>
      <c r="D10" s="22">
        <v>400.05000000000007</v>
      </c>
      <c r="E10" s="6">
        <v>1364</v>
      </c>
      <c r="F10" s="7">
        <v>4900</v>
      </c>
      <c r="G10" s="8">
        <v>5</v>
      </c>
      <c r="H10" s="7">
        <v>4795.4799999999996</v>
      </c>
      <c r="I10" s="45">
        <v>66</v>
      </c>
      <c r="J10" s="7">
        <v>72.66</v>
      </c>
      <c r="K10"/>
    </row>
    <row r="11" spans="1:12" x14ac:dyDescent="0.25">
      <c r="A11" s="54" t="s">
        <v>163</v>
      </c>
      <c r="B11" s="54" t="s">
        <v>20</v>
      </c>
      <c r="C11" s="9">
        <f>114</f>
        <v>114</v>
      </c>
      <c r="D11" s="9">
        <f>C11*1.8</f>
        <v>205.20000000000002</v>
      </c>
      <c r="E11" s="6">
        <v>1364</v>
      </c>
      <c r="F11" s="7">
        <v>4800</v>
      </c>
      <c r="G11" s="8">
        <v>2</v>
      </c>
      <c r="H11" s="7">
        <v>4764.6099999999997</v>
      </c>
      <c r="I11" s="45">
        <v>71</v>
      </c>
      <c r="J11" s="7">
        <f>H11/I11</f>
        <v>67.107183098591548</v>
      </c>
      <c r="K11"/>
    </row>
    <row r="12" spans="1:12" x14ac:dyDescent="0.25">
      <c r="A12" s="54" t="s">
        <v>167</v>
      </c>
      <c r="B12" s="54" t="s">
        <v>22</v>
      </c>
      <c r="C12" s="9">
        <v>222</v>
      </c>
      <c r="D12" s="9">
        <f>C12*1.8</f>
        <v>399.6</v>
      </c>
      <c r="E12" s="6">
        <v>1364</v>
      </c>
      <c r="F12" s="66">
        <f>AVERAGE(F5:F11)</f>
        <v>3957.1428571428573</v>
      </c>
      <c r="G12" s="67">
        <v>5</v>
      </c>
      <c r="H12" s="66">
        <f>AVERAGE(H5:H11)</f>
        <v>3875.7557142857145</v>
      </c>
      <c r="I12" s="68"/>
      <c r="J12" s="66">
        <f>J15</f>
        <v>73.570160925729624</v>
      </c>
      <c r="K12"/>
    </row>
    <row r="13" spans="1:12" x14ac:dyDescent="0.25">
      <c r="A13" s="54" t="s">
        <v>165</v>
      </c>
      <c r="B13" s="54" t="s">
        <v>10</v>
      </c>
      <c r="C13" s="9"/>
      <c r="D13" s="9">
        <v>400</v>
      </c>
      <c r="E13" s="9">
        <f>36621</f>
        <v>36621</v>
      </c>
      <c r="F13" s="7">
        <v>16000</v>
      </c>
      <c r="G13" s="8">
        <v>3</v>
      </c>
      <c r="H13" s="7">
        <v>8868.98</v>
      </c>
      <c r="I13" s="45">
        <v>93</v>
      </c>
      <c r="J13" s="7">
        <f>H13/I13</f>
        <v>95.365376344086016</v>
      </c>
      <c r="K13"/>
    </row>
    <row r="14" spans="1:12" x14ac:dyDescent="0.25">
      <c r="A14" s="54" t="s">
        <v>166</v>
      </c>
      <c r="B14" s="54" t="s">
        <v>9</v>
      </c>
      <c r="C14" s="9"/>
      <c r="D14" s="9">
        <v>400</v>
      </c>
      <c r="E14" s="6">
        <v>1364</v>
      </c>
      <c r="F14" s="7">
        <v>11720</v>
      </c>
      <c r="G14" s="8">
        <v>5</v>
      </c>
      <c r="H14" s="7">
        <v>8267.14</v>
      </c>
      <c r="I14" s="45">
        <v>126</v>
      </c>
      <c r="J14" s="7">
        <f>H14/I14</f>
        <v>65.612222222222215</v>
      </c>
      <c r="K14"/>
    </row>
    <row r="15" spans="1:12" ht="18.75" x14ac:dyDescent="0.3">
      <c r="A15" s="139" t="s">
        <v>11</v>
      </c>
      <c r="B15" s="139"/>
      <c r="C15" s="156">
        <f>SUM(C5:C14)</f>
        <v>889</v>
      </c>
      <c r="D15" s="156">
        <f>SUM(D5:D12)</f>
        <v>3200.4000000000005</v>
      </c>
      <c r="E15" s="157">
        <f>AVERAGE(E5:E12)</f>
        <v>1364</v>
      </c>
      <c r="F15" s="158">
        <f>SUM(F5:F14)</f>
        <v>59377.142857142855</v>
      </c>
      <c r="G15" s="159">
        <f>AVERAGE(G5:G14)</f>
        <v>4.8</v>
      </c>
      <c r="H15" s="160">
        <f>SUM(H5:H14)</f>
        <v>48142.165714285715</v>
      </c>
      <c r="I15" s="161">
        <f>SUM(I5:I14)</f>
        <v>617</v>
      </c>
      <c r="J15" s="160">
        <f>AVERAGE(J5:J11,J13:J14)</f>
        <v>73.570160925729624</v>
      </c>
      <c r="K15"/>
    </row>
    <row r="16" spans="1:12" ht="18.75" x14ac:dyDescent="0.3">
      <c r="A16" s="140" t="s">
        <v>1</v>
      </c>
      <c r="B16" s="55"/>
      <c r="C16" s="2"/>
      <c r="D16" s="13"/>
      <c r="E16" s="2"/>
      <c r="F16" s="10"/>
      <c r="G16" s="11"/>
      <c r="H16" s="12"/>
      <c r="I16" s="21"/>
      <c r="J16" s="12"/>
      <c r="K16"/>
    </row>
    <row r="17" spans="1:11" x14ac:dyDescent="0.25">
      <c r="A17" s="55" t="s">
        <v>168</v>
      </c>
      <c r="B17" s="55" t="s">
        <v>24</v>
      </c>
      <c r="C17" s="13">
        <f>66</f>
        <v>66</v>
      </c>
      <c r="D17" s="13">
        <f t="shared" ref="D17:D35" si="0">C17*1.8</f>
        <v>118.8</v>
      </c>
      <c r="E17" s="2">
        <v>1658</v>
      </c>
      <c r="F17" s="10">
        <v>800</v>
      </c>
      <c r="G17" s="11">
        <v>6</v>
      </c>
      <c r="H17" s="12">
        <v>782.95</v>
      </c>
      <c r="I17" s="21">
        <v>8</v>
      </c>
      <c r="J17" s="12">
        <v>97.87</v>
      </c>
      <c r="K17"/>
    </row>
    <row r="18" spans="1:11" x14ac:dyDescent="0.25">
      <c r="A18" s="77" t="s">
        <v>169</v>
      </c>
      <c r="B18" s="55" t="s">
        <v>25</v>
      </c>
      <c r="C18" s="13">
        <f>155</f>
        <v>155</v>
      </c>
      <c r="D18" s="13">
        <f t="shared" si="0"/>
        <v>279</v>
      </c>
      <c r="E18" s="2">
        <v>1658</v>
      </c>
      <c r="F18" s="10">
        <v>1700</v>
      </c>
      <c r="G18" s="11">
        <v>9</v>
      </c>
      <c r="H18" s="12">
        <v>1642.9</v>
      </c>
      <c r="I18" s="21">
        <v>19</v>
      </c>
      <c r="J18" s="12">
        <v>86.47</v>
      </c>
      <c r="K18"/>
    </row>
    <row r="19" spans="1:11" x14ac:dyDescent="0.25">
      <c r="A19" s="78" t="s">
        <v>186</v>
      </c>
      <c r="B19" s="75" t="s">
        <v>128</v>
      </c>
      <c r="C19" s="13">
        <v>64</v>
      </c>
      <c r="D19" s="13">
        <f t="shared" si="0"/>
        <v>115.2</v>
      </c>
      <c r="E19" s="2">
        <v>1658</v>
      </c>
      <c r="F19" s="69">
        <f>AVERAGE(F17:F18,F20:F23,F24:F32)</f>
        <v>1006.6666666666666</v>
      </c>
      <c r="G19" s="67">
        <v>7</v>
      </c>
      <c r="H19" s="66">
        <f>AVERAGE(H17:H18,H24:H32,H22:H23,H20)</f>
        <v>972.97500000000014</v>
      </c>
      <c r="I19" s="68"/>
      <c r="J19" s="66">
        <v>65.212000000000003</v>
      </c>
      <c r="K19"/>
    </row>
    <row r="20" spans="1:11" x14ac:dyDescent="0.25">
      <c r="A20" s="55" t="s">
        <v>170</v>
      </c>
      <c r="B20" s="55" t="s">
        <v>26</v>
      </c>
      <c r="C20" s="13">
        <f>93</f>
        <v>93</v>
      </c>
      <c r="D20" s="13">
        <f t="shared" si="0"/>
        <v>167.4</v>
      </c>
      <c r="E20" s="2">
        <v>1658</v>
      </c>
      <c r="F20" s="10">
        <v>1500</v>
      </c>
      <c r="G20" s="11">
        <v>8</v>
      </c>
      <c r="H20" s="12">
        <v>1452.01</v>
      </c>
      <c r="I20" s="21">
        <v>14</v>
      </c>
      <c r="J20" s="12">
        <v>103.71</v>
      </c>
      <c r="K20"/>
    </row>
    <row r="21" spans="1:11" x14ac:dyDescent="0.25">
      <c r="A21" s="55" t="s">
        <v>171</v>
      </c>
      <c r="B21" s="55" t="s">
        <v>129</v>
      </c>
      <c r="C21" s="13">
        <f>91</f>
        <v>91</v>
      </c>
      <c r="D21" s="13">
        <f t="shared" si="0"/>
        <v>163.80000000000001</v>
      </c>
      <c r="E21" s="2">
        <v>1658</v>
      </c>
      <c r="F21" s="10">
        <v>500</v>
      </c>
      <c r="G21" s="11">
        <v>8</v>
      </c>
      <c r="H21" s="66">
        <v>972.97500000000014</v>
      </c>
      <c r="I21" s="68"/>
      <c r="J21" s="66">
        <v>65.212000000000003</v>
      </c>
      <c r="K21"/>
    </row>
    <row r="22" spans="1:11" x14ac:dyDescent="0.25">
      <c r="A22" s="55" t="s">
        <v>172</v>
      </c>
      <c r="B22" s="55" t="s">
        <v>27</v>
      </c>
      <c r="C22" s="13">
        <f>32</f>
        <v>32</v>
      </c>
      <c r="D22" s="13">
        <f t="shared" si="0"/>
        <v>57.6</v>
      </c>
      <c r="E22" s="2">
        <v>1658</v>
      </c>
      <c r="F22" s="10">
        <v>1300</v>
      </c>
      <c r="G22" s="11">
        <v>8</v>
      </c>
      <c r="H22" s="12">
        <v>1218.6600000000001</v>
      </c>
      <c r="I22" s="21">
        <v>14</v>
      </c>
      <c r="J22" s="12">
        <v>87.05</v>
      </c>
      <c r="K22"/>
    </row>
    <row r="23" spans="1:11" x14ac:dyDescent="0.25">
      <c r="A23" s="55" t="s">
        <v>173</v>
      </c>
      <c r="B23" s="55" t="s">
        <v>130</v>
      </c>
      <c r="C23" s="13">
        <v>64</v>
      </c>
      <c r="D23" s="13">
        <f t="shared" si="0"/>
        <v>115.2</v>
      </c>
      <c r="E23" s="2">
        <v>1658</v>
      </c>
      <c r="F23" s="10">
        <v>1800</v>
      </c>
      <c r="G23" s="2">
        <v>8</v>
      </c>
      <c r="H23" s="12">
        <v>1757.67</v>
      </c>
      <c r="I23" s="21">
        <v>24</v>
      </c>
      <c r="J23" s="12">
        <v>73.239999999999995</v>
      </c>
      <c r="K23"/>
    </row>
    <row r="24" spans="1:11" x14ac:dyDescent="0.25">
      <c r="A24" s="55" t="s">
        <v>174</v>
      </c>
      <c r="B24" s="55" t="s">
        <v>28</v>
      </c>
      <c r="C24" s="13">
        <f>108</f>
        <v>108</v>
      </c>
      <c r="D24" s="13">
        <f t="shared" si="0"/>
        <v>194.4</v>
      </c>
      <c r="E24" s="2">
        <v>1658</v>
      </c>
      <c r="F24" s="10">
        <v>250</v>
      </c>
      <c r="G24" s="2">
        <v>5</v>
      </c>
      <c r="H24" s="12">
        <v>17.899999999999999</v>
      </c>
      <c r="I24" s="21">
        <v>1</v>
      </c>
      <c r="J24" s="12">
        <v>17.899999999999999</v>
      </c>
      <c r="K24"/>
    </row>
    <row r="25" spans="1:11" x14ac:dyDescent="0.25">
      <c r="A25" s="55" t="s">
        <v>175</v>
      </c>
      <c r="B25" s="55" t="s">
        <v>29</v>
      </c>
      <c r="C25" s="13">
        <f>166</f>
        <v>166</v>
      </c>
      <c r="D25" s="13">
        <f t="shared" si="0"/>
        <v>298.8</v>
      </c>
      <c r="E25" s="2">
        <v>1658</v>
      </c>
      <c r="F25" s="10">
        <v>1700</v>
      </c>
      <c r="G25" s="2">
        <v>3</v>
      </c>
      <c r="H25" s="12">
        <v>1628.62</v>
      </c>
      <c r="I25" s="21">
        <v>18</v>
      </c>
      <c r="J25" s="12">
        <v>90.48</v>
      </c>
      <c r="K25"/>
    </row>
    <row r="26" spans="1:11" x14ac:dyDescent="0.25">
      <c r="A26" s="55" t="s">
        <v>176</v>
      </c>
      <c r="B26" s="55" t="s">
        <v>30</v>
      </c>
      <c r="C26" s="13">
        <f>90</f>
        <v>90</v>
      </c>
      <c r="D26" s="13">
        <f t="shared" si="0"/>
        <v>162</v>
      </c>
      <c r="E26" s="2">
        <v>1658</v>
      </c>
      <c r="F26" s="10">
        <v>500</v>
      </c>
      <c r="G26" s="2">
        <v>5</v>
      </c>
      <c r="H26" s="12">
        <v>315.79000000000002</v>
      </c>
      <c r="I26" s="21">
        <v>6</v>
      </c>
      <c r="J26" s="12">
        <v>52.63</v>
      </c>
      <c r="K26"/>
    </row>
    <row r="27" spans="1:11" x14ac:dyDescent="0.25">
      <c r="A27" s="55" t="s">
        <v>177</v>
      </c>
      <c r="B27" s="55" t="s">
        <v>31</v>
      </c>
      <c r="C27" s="13">
        <f>35</f>
        <v>35</v>
      </c>
      <c r="D27" s="13">
        <f t="shared" si="0"/>
        <v>63</v>
      </c>
      <c r="E27" s="2">
        <v>1658</v>
      </c>
      <c r="F27" s="10">
        <v>800</v>
      </c>
      <c r="G27" s="2">
        <v>3</v>
      </c>
      <c r="H27" s="12">
        <v>739.05</v>
      </c>
      <c r="I27" s="21">
        <v>17</v>
      </c>
      <c r="J27" s="12">
        <v>43.47</v>
      </c>
      <c r="K27"/>
    </row>
    <row r="28" spans="1:11" x14ac:dyDescent="0.25">
      <c r="A28" s="55" t="s">
        <v>178</v>
      </c>
      <c r="B28" s="55" t="s">
        <v>32</v>
      </c>
      <c r="C28" s="13">
        <f>133</f>
        <v>133</v>
      </c>
      <c r="D28" s="13">
        <f t="shared" si="0"/>
        <v>239.4</v>
      </c>
      <c r="E28" s="2">
        <v>1658</v>
      </c>
      <c r="F28" s="10">
        <v>1200</v>
      </c>
      <c r="G28" s="2">
        <v>3</v>
      </c>
      <c r="H28" s="12">
        <v>1191.82</v>
      </c>
      <c r="I28" s="21">
        <v>38</v>
      </c>
      <c r="J28" s="12">
        <v>31.36</v>
      </c>
      <c r="K28"/>
    </row>
    <row r="29" spans="1:11" x14ac:dyDescent="0.25">
      <c r="A29" s="55" t="s">
        <v>179</v>
      </c>
      <c r="B29" s="55" t="s">
        <v>33</v>
      </c>
      <c r="C29" s="13">
        <f>60</f>
        <v>60</v>
      </c>
      <c r="D29" s="13">
        <f t="shared" si="0"/>
        <v>108</v>
      </c>
      <c r="E29" s="2">
        <v>1658</v>
      </c>
      <c r="F29" s="10">
        <v>500</v>
      </c>
      <c r="G29" s="2">
        <v>8</v>
      </c>
      <c r="H29" s="12">
        <v>425.51</v>
      </c>
      <c r="I29" s="21">
        <v>11</v>
      </c>
      <c r="J29" s="12">
        <v>38.68</v>
      </c>
      <c r="K29"/>
    </row>
    <row r="30" spans="1:11" x14ac:dyDescent="0.25">
      <c r="A30" s="55" t="s">
        <v>180</v>
      </c>
      <c r="B30" s="55" t="s">
        <v>34</v>
      </c>
      <c r="C30" s="13">
        <f>11</f>
        <v>11</v>
      </c>
      <c r="D30" s="13">
        <f t="shared" si="0"/>
        <v>19.8</v>
      </c>
      <c r="E30" s="2">
        <v>1658</v>
      </c>
      <c r="F30" s="10">
        <v>1000</v>
      </c>
      <c r="G30" s="11">
        <v>4</v>
      </c>
      <c r="H30" s="12">
        <v>957.14</v>
      </c>
      <c r="I30" s="21">
        <v>26</v>
      </c>
      <c r="J30" s="12">
        <v>36.81</v>
      </c>
      <c r="K30"/>
    </row>
    <row r="31" spans="1:11" x14ac:dyDescent="0.25">
      <c r="A31" s="55" t="s">
        <v>181</v>
      </c>
      <c r="B31" s="55" t="s">
        <v>35</v>
      </c>
      <c r="C31" s="13">
        <f>8</f>
        <v>8</v>
      </c>
      <c r="D31" s="13">
        <f t="shared" si="0"/>
        <v>14.4</v>
      </c>
      <c r="E31" s="2">
        <v>1658</v>
      </c>
      <c r="F31" s="10">
        <v>250</v>
      </c>
      <c r="G31" s="11">
        <v>6</v>
      </c>
      <c r="H31" s="12">
        <v>206.68</v>
      </c>
      <c r="I31" s="21">
        <v>5</v>
      </c>
      <c r="J31" s="12">
        <v>41.34</v>
      </c>
      <c r="K31"/>
    </row>
    <row r="32" spans="1:11" x14ac:dyDescent="0.25">
      <c r="A32" s="55" t="s">
        <v>182</v>
      </c>
      <c r="B32" s="55" t="s">
        <v>36</v>
      </c>
      <c r="C32" s="13">
        <f>13</f>
        <v>13</v>
      </c>
      <c r="D32" s="13">
        <f t="shared" si="0"/>
        <v>23.400000000000002</v>
      </c>
      <c r="E32" s="2">
        <v>1658</v>
      </c>
      <c r="F32" s="10">
        <v>1300</v>
      </c>
      <c r="G32" s="11">
        <v>5</v>
      </c>
      <c r="H32" s="12">
        <v>1284.95</v>
      </c>
      <c r="I32" s="21">
        <v>15</v>
      </c>
      <c r="J32" s="12">
        <v>85.66</v>
      </c>
      <c r="K32"/>
    </row>
    <row r="33" spans="1:11" x14ac:dyDescent="0.25">
      <c r="A33" s="75" t="s">
        <v>183</v>
      </c>
      <c r="B33" s="75" t="s">
        <v>37</v>
      </c>
      <c r="C33" s="13">
        <f>16</f>
        <v>16</v>
      </c>
      <c r="D33" s="13">
        <f t="shared" si="0"/>
        <v>28.8</v>
      </c>
      <c r="E33" s="2">
        <v>1658</v>
      </c>
      <c r="F33" s="69">
        <v>1006.6666666666666</v>
      </c>
      <c r="G33" s="67">
        <v>5</v>
      </c>
      <c r="H33" s="66">
        <v>972.97500000000014</v>
      </c>
      <c r="I33" s="68"/>
      <c r="J33" s="66">
        <v>65.212000000000003</v>
      </c>
      <c r="K33"/>
    </row>
    <row r="34" spans="1:11" x14ac:dyDescent="0.25">
      <c r="A34" s="75" t="s">
        <v>184</v>
      </c>
      <c r="B34" s="75" t="s">
        <v>38</v>
      </c>
      <c r="C34" s="13">
        <f>22</f>
        <v>22</v>
      </c>
      <c r="D34" s="13">
        <f t="shared" si="0"/>
        <v>39.6</v>
      </c>
      <c r="E34" s="2">
        <v>1658</v>
      </c>
      <c r="F34" s="69">
        <v>1006.6666666666666</v>
      </c>
      <c r="G34" s="67">
        <v>5</v>
      </c>
      <c r="H34" s="66">
        <v>972.97500000000014</v>
      </c>
      <c r="I34" s="68"/>
      <c r="J34" s="66">
        <v>65.212000000000003</v>
      </c>
      <c r="K34"/>
    </row>
    <row r="35" spans="1:11" x14ac:dyDescent="0.25">
      <c r="A35" s="75" t="s">
        <v>185</v>
      </c>
      <c r="B35" s="75" t="s">
        <v>39</v>
      </c>
      <c r="C35" s="13">
        <f>23</f>
        <v>23</v>
      </c>
      <c r="D35" s="13">
        <f t="shared" si="0"/>
        <v>41.4</v>
      </c>
      <c r="E35" s="2">
        <v>1658</v>
      </c>
      <c r="F35" s="69">
        <v>1006.6666666666666</v>
      </c>
      <c r="G35" s="67">
        <v>4</v>
      </c>
      <c r="H35" s="66">
        <v>972.97500000000014</v>
      </c>
      <c r="I35" s="68"/>
      <c r="J35" s="66">
        <v>65.212000000000003</v>
      </c>
      <c r="K35"/>
    </row>
    <row r="36" spans="1:11" x14ac:dyDescent="0.25">
      <c r="A36" s="55" t="s">
        <v>188</v>
      </c>
      <c r="B36" s="55" t="s">
        <v>10</v>
      </c>
      <c r="C36" s="13"/>
      <c r="D36" s="13">
        <v>118</v>
      </c>
      <c r="E36" s="13">
        <f>36621</f>
        <v>36621</v>
      </c>
      <c r="F36" s="10">
        <v>6000</v>
      </c>
      <c r="G36" s="11">
        <v>5</v>
      </c>
      <c r="H36" s="12">
        <v>6041.14</v>
      </c>
      <c r="I36" s="21">
        <v>38</v>
      </c>
      <c r="J36" s="12">
        <v>158.97999999999999</v>
      </c>
      <c r="K36"/>
    </row>
    <row r="37" spans="1:11" x14ac:dyDescent="0.25">
      <c r="A37" s="55" t="s">
        <v>187</v>
      </c>
      <c r="B37" s="55" t="s">
        <v>9</v>
      </c>
      <c r="C37" s="13"/>
      <c r="D37" s="13">
        <f>AVERAGE(D17:D35)</f>
        <v>118.421052631579</v>
      </c>
      <c r="E37" s="2">
        <v>1658</v>
      </c>
      <c r="F37" s="10">
        <v>7118</v>
      </c>
      <c r="G37" s="11">
        <v>6</v>
      </c>
      <c r="H37" s="12">
        <v>3386.01</v>
      </c>
      <c r="I37" s="21">
        <v>37</v>
      </c>
      <c r="J37" s="12">
        <v>91.51</v>
      </c>
      <c r="K37"/>
    </row>
    <row r="38" spans="1:11" ht="18.75" x14ac:dyDescent="0.3">
      <c r="A38" s="119" t="s">
        <v>12</v>
      </c>
      <c r="B38" s="119"/>
      <c r="C38" s="120">
        <f>SUM(C17:C37)</f>
        <v>1250</v>
      </c>
      <c r="D38" s="120">
        <f>SUM(D17:D35)</f>
        <v>2250.0000000000009</v>
      </c>
      <c r="E38" s="121">
        <f>AVERAGE(E17:E35)</f>
        <v>1658</v>
      </c>
      <c r="F38" s="162">
        <f>SUM(F17:F37)</f>
        <v>32244.666666666668</v>
      </c>
      <c r="G38" s="163">
        <f>AVERAGE(G17:G37)</f>
        <v>5.7619047619047619</v>
      </c>
      <c r="H38" s="164">
        <f>SUM(H17:H37)</f>
        <v>27913.674999999996</v>
      </c>
      <c r="I38" s="123">
        <f>SUM(I17:I37)</f>
        <v>291</v>
      </c>
      <c r="J38" s="164">
        <f>AVERAGE(J17:J35,J37)</f>
        <v>65.212000000000003</v>
      </c>
      <c r="K38"/>
    </row>
    <row r="39" spans="1:11" ht="18.75" x14ac:dyDescent="0.3">
      <c r="A39" s="141" t="s">
        <v>14</v>
      </c>
      <c r="B39" s="56"/>
      <c r="C39" s="14"/>
      <c r="D39" s="24"/>
      <c r="E39" s="14"/>
      <c r="F39" s="14"/>
      <c r="G39" s="14"/>
      <c r="H39" s="30"/>
      <c r="I39" s="46"/>
      <c r="J39" s="30"/>
      <c r="K39"/>
    </row>
    <row r="40" spans="1:11" x14ac:dyDescent="0.25">
      <c r="A40" s="56" t="s">
        <v>189</v>
      </c>
      <c r="B40" s="56" t="s">
        <v>40</v>
      </c>
      <c r="C40" s="14">
        <v>211</v>
      </c>
      <c r="D40" s="24">
        <f>C40*1.8</f>
        <v>379.8</v>
      </c>
      <c r="E40" s="14">
        <v>1668</v>
      </c>
      <c r="F40" s="30">
        <v>1100</v>
      </c>
      <c r="G40" s="14">
        <v>5</v>
      </c>
      <c r="H40" s="30">
        <v>1052.19</v>
      </c>
      <c r="I40" s="46">
        <v>24</v>
      </c>
      <c r="J40" s="30">
        <v>43.84</v>
      </c>
      <c r="K40"/>
    </row>
    <row r="41" spans="1:11" x14ac:dyDescent="0.25">
      <c r="A41" s="56" t="s">
        <v>190</v>
      </c>
      <c r="B41" s="56" t="s">
        <v>15</v>
      </c>
      <c r="C41" s="23"/>
      <c r="D41" s="22">
        <f>AVERAGE(D40,D45:D55)</f>
        <v>106.2</v>
      </c>
      <c r="E41" s="14">
        <v>1668</v>
      </c>
      <c r="F41" s="30">
        <v>500</v>
      </c>
      <c r="G41" s="14">
        <v>5</v>
      </c>
      <c r="H41" s="30">
        <v>445.98</v>
      </c>
      <c r="I41" s="46">
        <v>7</v>
      </c>
      <c r="J41" s="30">
        <v>63.71</v>
      </c>
      <c r="K41"/>
    </row>
    <row r="42" spans="1:11" x14ac:dyDescent="0.25">
      <c r="A42" s="56" t="s">
        <v>191</v>
      </c>
      <c r="B42" s="56" t="s">
        <v>16</v>
      </c>
      <c r="C42" s="23"/>
      <c r="D42" s="22">
        <v>87.631578947368439</v>
      </c>
      <c r="E42" s="14">
        <v>1668</v>
      </c>
      <c r="F42" s="30">
        <v>500</v>
      </c>
      <c r="G42" s="14">
        <v>5</v>
      </c>
      <c r="H42" s="30">
        <v>460.24</v>
      </c>
      <c r="I42" s="46">
        <v>5</v>
      </c>
      <c r="J42" s="30">
        <v>92.05</v>
      </c>
      <c r="K42"/>
    </row>
    <row r="43" spans="1:11" x14ac:dyDescent="0.25">
      <c r="A43" s="56" t="s">
        <v>192</v>
      </c>
      <c r="B43" s="56" t="s">
        <v>17</v>
      </c>
      <c r="C43" s="23"/>
      <c r="D43" s="22">
        <v>87.631578947368439</v>
      </c>
      <c r="E43" s="14">
        <v>1668</v>
      </c>
      <c r="F43" s="30">
        <v>500</v>
      </c>
      <c r="G43" s="14">
        <v>5</v>
      </c>
      <c r="H43" s="30">
        <v>421.39</v>
      </c>
      <c r="I43" s="46">
        <v>7</v>
      </c>
      <c r="J43" s="30">
        <v>60.2</v>
      </c>
      <c r="K43"/>
    </row>
    <row r="44" spans="1:11" x14ac:dyDescent="0.25">
      <c r="A44" s="56" t="s">
        <v>193</v>
      </c>
      <c r="B44" s="56" t="s">
        <v>18</v>
      </c>
      <c r="C44" s="23"/>
      <c r="D44" s="22">
        <v>87.631578947368439</v>
      </c>
      <c r="E44" s="14">
        <v>1668</v>
      </c>
      <c r="F44" s="30">
        <v>600</v>
      </c>
      <c r="G44" s="14">
        <v>5</v>
      </c>
      <c r="H44" s="30">
        <v>580.22</v>
      </c>
      <c r="I44" s="46">
        <v>6</v>
      </c>
      <c r="J44" s="30">
        <v>96.7</v>
      </c>
      <c r="K44"/>
    </row>
    <row r="45" spans="1:11" x14ac:dyDescent="0.25">
      <c r="A45" s="75" t="s">
        <v>203</v>
      </c>
      <c r="B45" s="75" t="s">
        <v>43</v>
      </c>
      <c r="C45" s="14">
        <v>23</v>
      </c>
      <c r="D45" s="24">
        <f t="shared" ref="D45:D55" si="1">C45*1.8</f>
        <v>41.4</v>
      </c>
      <c r="E45" s="14">
        <v>1668</v>
      </c>
      <c r="F45" s="66">
        <v>1066.6666666666667</v>
      </c>
      <c r="G45" s="23">
        <v>5</v>
      </c>
      <c r="H45" s="66">
        <v>1022.4775000000001</v>
      </c>
      <c r="I45" s="68"/>
      <c r="J45" s="70">
        <v>67.220769230769221</v>
      </c>
      <c r="K45"/>
    </row>
    <row r="46" spans="1:11" x14ac:dyDescent="0.25">
      <c r="A46" s="56" t="s">
        <v>194</v>
      </c>
      <c r="B46" s="56" t="s">
        <v>41</v>
      </c>
      <c r="C46" s="14">
        <v>32</v>
      </c>
      <c r="D46" s="24">
        <f t="shared" si="1"/>
        <v>57.6</v>
      </c>
      <c r="E46" s="14">
        <v>1668</v>
      </c>
      <c r="F46" s="30">
        <v>1400</v>
      </c>
      <c r="G46" s="14">
        <v>5</v>
      </c>
      <c r="H46" s="30">
        <v>1339.8</v>
      </c>
      <c r="I46" s="46">
        <v>12</v>
      </c>
      <c r="J46" s="30">
        <v>111.65</v>
      </c>
      <c r="K46"/>
    </row>
    <row r="47" spans="1:11" x14ac:dyDescent="0.25">
      <c r="A47" s="75" t="s">
        <v>206</v>
      </c>
      <c r="B47" s="75" t="s">
        <v>44</v>
      </c>
      <c r="C47" s="14">
        <v>32</v>
      </c>
      <c r="D47" s="24">
        <f t="shared" si="1"/>
        <v>57.6</v>
      </c>
      <c r="E47" s="14">
        <v>1668</v>
      </c>
      <c r="F47" s="66">
        <v>1066.6666666666667</v>
      </c>
      <c r="G47" s="23">
        <v>5</v>
      </c>
      <c r="H47" s="66">
        <v>1022.4775000000001</v>
      </c>
      <c r="I47" s="68"/>
      <c r="J47" s="66">
        <v>67.220769230769207</v>
      </c>
      <c r="K47"/>
    </row>
    <row r="48" spans="1:11" x14ac:dyDescent="0.25">
      <c r="A48" s="56" t="s">
        <v>199</v>
      </c>
      <c r="B48" s="57" t="s">
        <v>45</v>
      </c>
      <c r="C48" s="14">
        <v>30</v>
      </c>
      <c r="D48" s="24">
        <f t="shared" si="1"/>
        <v>54</v>
      </c>
      <c r="E48" s="14">
        <v>1668</v>
      </c>
      <c r="F48" s="30">
        <v>1100</v>
      </c>
      <c r="G48" s="14">
        <v>3</v>
      </c>
      <c r="H48" s="30">
        <v>1037.98</v>
      </c>
      <c r="I48" s="46">
        <v>25</v>
      </c>
      <c r="J48" s="30">
        <v>41.52</v>
      </c>
      <c r="K48"/>
    </row>
    <row r="49" spans="1:11" x14ac:dyDescent="0.25">
      <c r="A49" s="56" t="s">
        <v>197</v>
      </c>
      <c r="B49" s="57" t="s">
        <v>46</v>
      </c>
      <c r="C49" s="14">
        <v>63</v>
      </c>
      <c r="D49" s="24">
        <f t="shared" si="1"/>
        <v>113.4</v>
      </c>
      <c r="E49" s="14">
        <v>1668</v>
      </c>
      <c r="F49" s="30">
        <v>1200</v>
      </c>
      <c r="G49" s="14">
        <v>3</v>
      </c>
      <c r="H49" s="30">
        <v>1179.05</v>
      </c>
      <c r="I49" s="46">
        <v>26</v>
      </c>
      <c r="J49" s="30">
        <v>45.35</v>
      </c>
      <c r="K49"/>
    </row>
    <row r="50" spans="1:11" x14ac:dyDescent="0.25">
      <c r="A50" s="56" t="s">
        <v>195</v>
      </c>
      <c r="B50" s="56" t="s">
        <v>42</v>
      </c>
      <c r="C50" s="14">
        <v>89</v>
      </c>
      <c r="D50" s="24">
        <f t="shared" si="1"/>
        <v>160.20000000000002</v>
      </c>
      <c r="E50" s="14">
        <v>1668</v>
      </c>
      <c r="F50" s="30">
        <v>2400</v>
      </c>
      <c r="G50" s="14">
        <v>3</v>
      </c>
      <c r="H50" s="30">
        <v>2384.75</v>
      </c>
      <c r="I50" s="46">
        <v>61</v>
      </c>
      <c r="J50" s="30">
        <v>39.090000000000003</v>
      </c>
      <c r="K50"/>
    </row>
    <row r="51" spans="1:11" x14ac:dyDescent="0.25">
      <c r="A51" s="56" t="s">
        <v>196</v>
      </c>
      <c r="B51" s="56" t="s">
        <v>47</v>
      </c>
      <c r="C51" s="14">
        <v>33</v>
      </c>
      <c r="D51" s="24">
        <f t="shared" si="1"/>
        <v>59.4</v>
      </c>
      <c r="E51" s="14">
        <v>1668</v>
      </c>
      <c r="F51" s="30">
        <v>1300</v>
      </c>
      <c r="G51" s="14">
        <v>5</v>
      </c>
      <c r="H51" s="30">
        <v>1279.74</v>
      </c>
      <c r="I51" s="46">
        <v>14</v>
      </c>
      <c r="J51" s="30">
        <v>91.41</v>
      </c>
      <c r="K51"/>
    </row>
    <row r="52" spans="1:11" x14ac:dyDescent="0.25">
      <c r="A52" s="56" t="s">
        <v>198</v>
      </c>
      <c r="B52" s="56" t="s">
        <v>48</v>
      </c>
      <c r="C52" s="14">
        <v>63</v>
      </c>
      <c r="D52" s="24">
        <f t="shared" si="1"/>
        <v>113.4</v>
      </c>
      <c r="E52" s="14">
        <v>1668</v>
      </c>
      <c r="F52" s="30">
        <v>1200</v>
      </c>
      <c r="G52" s="14">
        <v>3</v>
      </c>
      <c r="H52" s="30">
        <v>1175.1400000000001</v>
      </c>
      <c r="I52" s="46">
        <v>18</v>
      </c>
      <c r="J52" s="30">
        <v>65.290000000000006</v>
      </c>
      <c r="K52"/>
    </row>
    <row r="53" spans="1:11" x14ac:dyDescent="0.25">
      <c r="A53" s="56" t="s">
        <v>200</v>
      </c>
      <c r="B53" s="56" t="s">
        <v>49</v>
      </c>
      <c r="C53" s="14">
        <v>69</v>
      </c>
      <c r="D53" s="24">
        <f t="shared" si="1"/>
        <v>124.2</v>
      </c>
      <c r="E53" s="14">
        <v>1668</v>
      </c>
      <c r="F53" s="30">
        <v>1000</v>
      </c>
      <c r="G53" s="14">
        <v>5</v>
      </c>
      <c r="H53" s="30">
        <v>913.25</v>
      </c>
      <c r="I53" s="46">
        <v>13</v>
      </c>
      <c r="J53" s="30">
        <v>70.25</v>
      </c>
      <c r="K53"/>
    </row>
    <row r="54" spans="1:11" x14ac:dyDescent="0.25">
      <c r="A54" s="75" t="s">
        <v>205</v>
      </c>
      <c r="B54" s="75" t="s">
        <v>50</v>
      </c>
      <c r="C54" s="14">
        <v>49</v>
      </c>
      <c r="D54" s="24">
        <f t="shared" si="1"/>
        <v>88.2</v>
      </c>
      <c r="E54" s="14">
        <v>1668</v>
      </c>
      <c r="F54" s="66">
        <v>1066.6666666666667</v>
      </c>
      <c r="G54" s="23">
        <v>5</v>
      </c>
      <c r="H54" s="66">
        <v>1022.4775000000001</v>
      </c>
      <c r="I54" s="68"/>
      <c r="J54" s="66">
        <v>67.220769230769207</v>
      </c>
      <c r="K54"/>
    </row>
    <row r="55" spans="1:11" x14ac:dyDescent="0.25">
      <c r="A55" s="75" t="s">
        <v>204</v>
      </c>
      <c r="B55" s="75" t="s">
        <v>51</v>
      </c>
      <c r="C55" s="14">
        <v>14</v>
      </c>
      <c r="D55" s="24">
        <f t="shared" si="1"/>
        <v>25.2</v>
      </c>
      <c r="E55" s="14">
        <v>1668</v>
      </c>
      <c r="F55" s="66">
        <v>1066.6666666666667</v>
      </c>
      <c r="G55" s="23">
        <v>5</v>
      </c>
      <c r="H55" s="66">
        <v>1022.4775000000001</v>
      </c>
      <c r="I55" s="68"/>
      <c r="J55" s="66">
        <v>67.220769230769207</v>
      </c>
      <c r="K55"/>
    </row>
    <row r="56" spans="1:11" x14ac:dyDescent="0.25">
      <c r="A56" s="56" t="s">
        <v>201</v>
      </c>
      <c r="B56" s="56" t="s">
        <v>10</v>
      </c>
      <c r="C56" s="14"/>
      <c r="D56" s="24">
        <v>88</v>
      </c>
      <c r="E56" s="14">
        <f>36621</f>
        <v>36621</v>
      </c>
      <c r="F56" s="30">
        <v>12000</v>
      </c>
      <c r="G56" s="14">
        <v>8</v>
      </c>
      <c r="H56" s="30">
        <v>5286.58</v>
      </c>
      <c r="I56" s="46">
        <v>66</v>
      </c>
      <c r="J56" s="30">
        <v>80.099999999999994</v>
      </c>
      <c r="K56"/>
    </row>
    <row r="57" spans="1:11" x14ac:dyDescent="0.25">
      <c r="A57" s="56" t="s">
        <v>202</v>
      </c>
      <c r="B57" s="56" t="s">
        <v>9</v>
      </c>
      <c r="C57" s="14"/>
      <c r="D57" s="24">
        <v>88</v>
      </c>
      <c r="E57" s="14">
        <v>1668</v>
      </c>
      <c r="F57" s="30">
        <v>2746</v>
      </c>
      <c r="G57" s="14">
        <v>3</v>
      </c>
      <c r="H57" s="41">
        <v>3855</v>
      </c>
      <c r="I57" s="46">
        <v>73</v>
      </c>
      <c r="J57" s="41">
        <v>52.81</v>
      </c>
      <c r="K57"/>
    </row>
    <row r="58" spans="1:11" ht="18.75" x14ac:dyDescent="0.3">
      <c r="A58" s="87" t="s">
        <v>19</v>
      </c>
      <c r="B58" s="87"/>
      <c r="C58" s="88">
        <f>SUM(C40:C55)</f>
        <v>708</v>
      </c>
      <c r="D58" s="89">
        <f>SUM(D40,D45:D55)</f>
        <v>1274.4000000000001</v>
      </c>
      <c r="E58" s="88">
        <f>AVERAGE(E40:E55)</f>
        <v>1668</v>
      </c>
      <c r="F58" s="90">
        <f>SUM(F40:F57)</f>
        <v>31812.666666666668</v>
      </c>
      <c r="G58" s="150">
        <f>AVERAGE(G40:G57)</f>
        <v>4.6111111111111107</v>
      </c>
      <c r="H58" s="91">
        <f>SUM(H40:H57)</f>
        <v>25501.22</v>
      </c>
      <c r="I58" s="92">
        <f>SUM(I40:I57)</f>
        <v>357</v>
      </c>
      <c r="J58" s="91">
        <f>AVERAGE(J40:J55,J57)</f>
        <v>67.220769230769221</v>
      </c>
      <c r="K58"/>
    </row>
    <row r="59" spans="1:11" ht="18.75" x14ac:dyDescent="0.3">
      <c r="A59" s="142" t="s">
        <v>3</v>
      </c>
      <c r="B59" s="58"/>
      <c r="C59" s="15"/>
      <c r="D59" s="25"/>
      <c r="E59" s="16"/>
      <c r="F59" s="16"/>
      <c r="G59" s="16"/>
      <c r="H59" s="31"/>
      <c r="I59" s="15"/>
      <c r="J59" s="31"/>
      <c r="K59"/>
    </row>
    <row r="60" spans="1:11" x14ac:dyDescent="0.25">
      <c r="A60" s="58" t="s">
        <v>215</v>
      </c>
      <c r="B60" s="58" t="s">
        <v>52</v>
      </c>
      <c r="C60" s="15">
        <v>68</v>
      </c>
      <c r="D60" s="25">
        <f t="shared" ref="D60:D72" si="2">C60*1.8</f>
        <v>122.4</v>
      </c>
      <c r="E60" s="16">
        <v>1888</v>
      </c>
      <c r="F60" s="31">
        <v>3600</v>
      </c>
      <c r="G60" s="16">
        <v>7</v>
      </c>
      <c r="H60" s="31">
        <v>3578.31</v>
      </c>
      <c r="I60" s="15">
        <v>38</v>
      </c>
      <c r="J60" s="31">
        <v>94.17</v>
      </c>
      <c r="K60"/>
    </row>
    <row r="61" spans="1:11" x14ac:dyDescent="0.25">
      <c r="A61" s="75" t="s">
        <v>281</v>
      </c>
      <c r="B61" s="75" t="s">
        <v>53</v>
      </c>
      <c r="C61" s="15">
        <v>58</v>
      </c>
      <c r="D61" s="25">
        <f t="shared" si="2"/>
        <v>104.4</v>
      </c>
      <c r="E61" s="16">
        <v>1888</v>
      </c>
      <c r="F61" s="66">
        <v>3512.5</v>
      </c>
      <c r="G61" s="23">
        <v>5</v>
      </c>
      <c r="H61" s="66">
        <v>3010.3875000000003</v>
      </c>
      <c r="I61" s="68"/>
      <c r="J61" s="66">
        <v>106.62000000000003</v>
      </c>
      <c r="K61"/>
    </row>
    <row r="62" spans="1:11" x14ac:dyDescent="0.25">
      <c r="A62" s="58" t="s">
        <v>208</v>
      </c>
      <c r="B62" s="58" t="s">
        <v>54</v>
      </c>
      <c r="C62" s="15">
        <v>35</v>
      </c>
      <c r="D62" s="25">
        <f t="shared" si="2"/>
        <v>63</v>
      </c>
      <c r="E62" s="16">
        <v>1888</v>
      </c>
      <c r="F62" s="31">
        <v>2600</v>
      </c>
      <c r="G62" s="16">
        <v>6</v>
      </c>
      <c r="H62" s="31">
        <v>2564.13</v>
      </c>
      <c r="I62" s="15">
        <v>23</v>
      </c>
      <c r="J62" s="31">
        <v>111.48</v>
      </c>
      <c r="K62"/>
    </row>
    <row r="63" spans="1:11" x14ac:dyDescent="0.25">
      <c r="A63" s="58" t="s">
        <v>209</v>
      </c>
      <c r="B63" s="58" t="s">
        <v>55</v>
      </c>
      <c r="C63" s="15">
        <v>34</v>
      </c>
      <c r="D63" s="25">
        <f t="shared" si="2"/>
        <v>61.2</v>
      </c>
      <c r="E63" s="16">
        <v>1888</v>
      </c>
      <c r="F63" s="31">
        <v>1500</v>
      </c>
      <c r="G63" s="16">
        <v>6</v>
      </c>
      <c r="H63" s="31">
        <v>1467.68</v>
      </c>
      <c r="I63" s="15">
        <v>11</v>
      </c>
      <c r="J63" s="31">
        <v>133.43</v>
      </c>
      <c r="K63"/>
    </row>
    <row r="64" spans="1:11" x14ac:dyDescent="0.25">
      <c r="A64" s="58" t="s">
        <v>211</v>
      </c>
      <c r="B64" s="58" t="s">
        <v>56</v>
      </c>
      <c r="C64" s="15">
        <v>95</v>
      </c>
      <c r="D64" s="25">
        <f t="shared" si="2"/>
        <v>171</v>
      </c>
      <c r="E64" s="16">
        <v>1888</v>
      </c>
      <c r="F64" s="31">
        <v>3200</v>
      </c>
      <c r="G64" s="16">
        <v>4</v>
      </c>
      <c r="H64" s="31">
        <v>3191.53</v>
      </c>
      <c r="I64" s="15">
        <v>32</v>
      </c>
      <c r="J64" s="31">
        <v>99.74</v>
      </c>
      <c r="K64"/>
    </row>
    <row r="65" spans="1:11" x14ac:dyDescent="0.25">
      <c r="A65" s="58" t="s">
        <v>210</v>
      </c>
      <c r="B65" s="58" t="s">
        <v>57</v>
      </c>
      <c r="C65" s="15">
        <v>35</v>
      </c>
      <c r="D65" s="25">
        <f t="shared" si="2"/>
        <v>63</v>
      </c>
      <c r="E65" s="16">
        <v>1888</v>
      </c>
      <c r="F65" s="31">
        <v>3900</v>
      </c>
      <c r="G65" s="16">
        <v>6</v>
      </c>
      <c r="H65" s="31">
        <v>3822.38</v>
      </c>
      <c r="I65" s="15">
        <v>36</v>
      </c>
      <c r="J65" s="31">
        <v>106.18</v>
      </c>
      <c r="K65"/>
    </row>
    <row r="66" spans="1:11" x14ac:dyDescent="0.25">
      <c r="A66" s="58" t="s">
        <v>212</v>
      </c>
      <c r="B66" s="58" t="s">
        <v>58</v>
      </c>
      <c r="C66" s="15">
        <v>68</v>
      </c>
      <c r="D66" s="25">
        <f t="shared" si="2"/>
        <v>122.4</v>
      </c>
      <c r="E66" s="16">
        <v>1888</v>
      </c>
      <c r="F66" s="31">
        <v>3000</v>
      </c>
      <c r="G66" s="16">
        <v>7</v>
      </c>
      <c r="H66" s="31">
        <v>2976</v>
      </c>
      <c r="I66" s="15">
        <v>27</v>
      </c>
      <c r="J66" s="31">
        <v>110.22</v>
      </c>
      <c r="K66"/>
    </row>
    <row r="67" spans="1:11" x14ac:dyDescent="0.25">
      <c r="A67" s="58" t="s">
        <v>214</v>
      </c>
      <c r="B67" s="58" t="s">
        <v>59</v>
      </c>
      <c r="C67" s="15">
        <v>58</v>
      </c>
      <c r="D67" s="25">
        <f t="shared" si="2"/>
        <v>104.4</v>
      </c>
      <c r="E67" s="16">
        <v>1888</v>
      </c>
      <c r="F67" s="31">
        <v>6600</v>
      </c>
      <c r="G67" s="16">
        <v>5</v>
      </c>
      <c r="H67" s="31">
        <v>2837.04</v>
      </c>
      <c r="I67" s="15">
        <v>26</v>
      </c>
      <c r="J67" s="31">
        <v>109.12</v>
      </c>
      <c r="K67"/>
    </row>
    <row r="68" spans="1:11" x14ac:dyDescent="0.25">
      <c r="A68" s="75" t="s">
        <v>218</v>
      </c>
      <c r="B68" s="75" t="s">
        <v>60</v>
      </c>
      <c r="C68" s="15">
        <v>131</v>
      </c>
      <c r="D68" s="25">
        <f t="shared" si="2"/>
        <v>235.8</v>
      </c>
      <c r="E68" s="16">
        <v>1888</v>
      </c>
      <c r="F68" s="66">
        <v>3512.5</v>
      </c>
      <c r="G68" s="23">
        <v>7</v>
      </c>
      <c r="H68" s="66">
        <v>3010.3875000000003</v>
      </c>
      <c r="I68" s="68"/>
      <c r="J68" s="66">
        <v>106.62000000000002</v>
      </c>
      <c r="K68"/>
    </row>
    <row r="69" spans="1:11" x14ac:dyDescent="0.25">
      <c r="A69" s="75" t="s">
        <v>209</v>
      </c>
      <c r="B69" s="75" t="s">
        <v>207</v>
      </c>
      <c r="C69" s="15">
        <v>34</v>
      </c>
      <c r="D69" s="25">
        <f t="shared" si="2"/>
        <v>61.2</v>
      </c>
      <c r="E69" s="16">
        <v>1888</v>
      </c>
      <c r="F69" s="66">
        <v>3512.5</v>
      </c>
      <c r="G69" s="23">
        <v>6</v>
      </c>
      <c r="H69" s="66">
        <v>3010.3875000000003</v>
      </c>
      <c r="I69" s="68"/>
      <c r="J69" s="66">
        <v>106.62000000000002</v>
      </c>
      <c r="K69"/>
    </row>
    <row r="70" spans="1:11" x14ac:dyDescent="0.25">
      <c r="A70" s="58" t="s">
        <v>213</v>
      </c>
      <c r="B70" s="58" t="s">
        <v>62</v>
      </c>
      <c r="C70" s="15">
        <v>101</v>
      </c>
      <c r="D70" s="25">
        <f t="shared" si="2"/>
        <v>181.8</v>
      </c>
      <c r="E70" s="16">
        <v>1888</v>
      </c>
      <c r="F70" s="31">
        <v>3700</v>
      </c>
      <c r="G70" s="16">
        <v>5</v>
      </c>
      <c r="H70" s="31">
        <v>3646.03</v>
      </c>
      <c r="I70" s="15">
        <v>34</v>
      </c>
      <c r="J70" s="31">
        <v>107.24</v>
      </c>
      <c r="K70"/>
    </row>
    <row r="71" spans="1:11" x14ac:dyDescent="0.25">
      <c r="A71" s="75" t="s">
        <v>212</v>
      </c>
      <c r="B71" s="75" t="s">
        <v>63</v>
      </c>
      <c r="C71" s="15">
        <v>47</v>
      </c>
      <c r="D71" s="25">
        <f t="shared" si="2"/>
        <v>84.600000000000009</v>
      </c>
      <c r="E71" s="16">
        <v>1888</v>
      </c>
      <c r="F71" s="66">
        <v>3512.5</v>
      </c>
      <c r="G71" s="23">
        <v>5</v>
      </c>
      <c r="H71" s="66">
        <v>3010.3875000000003</v>
      </c>
      <c r="I71" s="68"/>
      <c r="J71" s="66">
        <v>106.62000000000003</v>
      </c>
      <c r="K71"/>
    </row>
    <row r="72" spans="1:11" x14ac:dyDescent="0.25">
      <c r="A72" s="75" t="s">
        <v>219</v>
      </c>
      <c r="B72" s="75" t="s">
        <v>64</v>
      </c>
      <c r="C72" s="15">
        <v>22</v>
      </c>
      <c r="D72" s="25">
        <f t="shared" si="2"/>
        <v>39.6</v>
      </c>
      <c r="E72" s="16">
        <v>1888</v>
      </c>
      <c r="F72" s="66">
        <v>3512.5</v>
      </c>
      <c r="G72" s="23">
        <v>8</v>
      </c>
      <c r="H72" s="66">
        <v>3010.3875000000003</v>
      </c>
      <c r="I72" s="68"/>
      <c r="J72" s="66">
        <v>106.62000000000003</v>
      </c>
      <c r="K72"/>
    </row>
    <row r="73" spans="1:11" x14ac:dyDescent="0.25">
      <c r="A73" s="58" t="s">
        <v>217</v>
      </c>
      <c r="B73" s="58" t="s">
        <v>10</v>
      </c>
      <c r="C73" s="15"/>
      <c r="D73" s="25">
        <f>AVERAGE(D60:D72)</f>
        <v>108.83076923076921</v>
      </c>
      <c r="E73" s="16">
        <f>36621</f>
        <v>36621</v>
      </c>
      <c r="F73" s="31">
        <v>11500</v>
      </c>
      <c r="G73" s="16">
        <v>5</v>
      </c>
      <c r="H73" s="31">
        <v>9968.19</v>
      </c>
      <c r="I73" s="15">
        <v>62</v>
      </c>
      <c r="J73" s="31">
        <v>160.78</v>
      </c>
      <c r="K73"/>
    </row>
    <row r="74" spans="1:11" x14ac:dyDescent="0.25">
      <c r="A74" s="58" t="s">
        <v>216</v>
      </c>
      <c r="B74" s="58" t="s">
        <v>9</v>
      </c>
      <c r="C74" s="15"/>
      <c r="D74" s="25">
        <v>104.15999999999998</v>
      </c>
      <c r="E74" s="16">
        <v>1888</v>
      </c>
      <c r="F74" s="31">
        <v>6144</v>
      </c>
      <c r="G74" s="16">
        <v>3</v>
      </c>
      <c r="H74" s="31">
        <v>440.01</v>
      </c>
      <c r="I74" s="15">
        <v>5</v>
      </c>
      <c r="J74" s="31">
        <v>88</v>
      </c>
      <c r="K74"/>
    </row>
    <row r="75" spans="1:11" ht="18.75" x14ac:dyDescent="0.3">
      <c r="A75" s="80" t="s">
        <v>65</v>
      </c>
      <c r="B75" s="80"/>
      <c r="C75" s="81">
        <f>SUM(C60:C72)</f>
        <v>786</v>
      </c>
      <c r="D75" s="82">
        <f>SUM(D60:D72)</f>
        <v>1414.7999999999997</v>
      </c>
      <c r="E75" s="83">
        <f>AVERAGE(E60:E72)</f>
        <v>1888</v>
      </c>
      <c r="F75" s="84">
        <f>SUM(F60:F74)</f>
        <v>63306.5</v>
      </c>
      <c r="G75" s="151">
        <f>AVERAGE(G60:G74)</f>
        <v>5.666666666666667</v>
      </c>
      <c r="H75" s="85">
        <f>SUM(H60:H74)</f>
        <v>49543.237500000003</v>
      </c>
      <c r="I75" s="81">
        <f>SUM(I60:I74)</f>
        <v>294</v>
      </c>
      <c r="J75" s="85">
        <f>AVERAGE(J60:J72,J74)</f>
        <v>106.62000000000003</v>
      </c>
      <c r="K75"/>
    </row>
    <row r="76" spans="1:11" ht="18.75" x14ac:dyDescent="0.3">
      <c r="A76" s="143" t="s">
        <v>66</v>
      </c>
      <c r="B76" s="59"/>
      <c r="C76" s="17"/>
      <c r="D76" s="26"/>
      <c r="E76" s="18"/>
      <c r="F76" s="33"/>
      <c r="G76" s="18"/>
      <c r="H76" s="33"/>
      <c r="I76" s="17"/>
      <c r="J76" s="33"/>
      <c r="K76"/>
    </row>
    <row r="77" spans="1:11" x14ac:dyDescent="0.25">
      <c r="A77" s="59" t="s">
        <v>222</v>
      </c>
      <c r="B77" s="59" t="s">
        <v>69</v>
      </c>
      <c r="C77" s="17">
        <v>64</v>
      </c>
      <c r="D77" s="26">
        <f>C77*1.8</f>
        <v>115.2</v>
      </c>
      <c r="E77" s="18">
        <v>586</v>
      </c>
      <c r="F77" s="33">
        <v>2200</v>
      </c>
      <c r="G77" s="18">
        <v>5</v>
      </c>
      <c r="H77" s="33">
        <v>2120.75</v>
      </c>
      <c r="I77" s="17">
        <v>88</v>
      </c>
      <c r="J77" s="33">
        <v>24.1</v>
      </c>
      <c r="K77"/>
    </row>
    <row r="78" spans="1:11" x14ac:dyDescent="0.25">
      <c r="A78" s="59" t="s">
        <v>220</v>
      </c>
      <c r="B78" s="59" t="s">
        <v>70</v>
      </c>
      <c r="C78" s="17">
        <v>134</v>
      </c>
      <c r="D78" s="26">
        <f t="shared" ref="D78:D83" si="3">C78*1.8</f>
        <v>241.20000000000002</v>
      </c>
      <c r="E78" s="18">
        <v>586</v>
      </c>
      <c r="F78" s="33">
        <v>1700</v>
      </c>
      <c r="G78" s="18">
        <v>5</v>
      </c>
      <c r="H78" s="33">
        <v>1657.23</v>
      </c>
      <c r="I78" s="17">
        <v>29</v>
      </c>
      <c r="J78" s="33">
        <v>57.15</v>
      </c>
      <c r="K78"/>
    </row>
    <row r="79" spans="1:11" x14ac:dyDescent="0.25">
      <c r="A79" s="59" t="s">
        <v>224</v>
      </c>
      <c r="B79" s="59" t="s">
        <v>71</v>
      </c>
      <c r="C79" s="17">
        <v>12</v>
      </c>
      <c r="D79" s="26">
        <f t="shared" si="3"/>
        <v>21.6</v>
      </c>
      <c r="E79" s="18">
        <v>586</v>
      </c>
      <c r="F79" s="33">
        <v>1200</v>
      </c>
      <c r="G79" s="18">
        <v>1</v>
      </c>
      <c r="H79" s="33">
        <v>1160.5899999999999</v>
      </c>
      <c r="I79" s="17">
        <v>21</v>
      </c>
      <c r="J79" s="33">
        <v>55.27</v>
      </c>
      <c r="K79"/>
    </row>
    <row r="80" spans="1:11" x14ac:dyDescent="0.25">
      <c r="A80" s="59" t="s">
        <v>223</v>
      </c>
      <c r="B80" s="59" t="s">
        <v>72</v>
      </c>
      <c r="C80" s="17">
        <v>183</v>
      </c>
      <c r="D80" s="26">
        <f t="shared" si="3"/>
        <v>329.40000000000003</v>
      </c>
      <c r="E80" s="18">
        <v>586</v>
      </c>
      <c r="F80" s="33">
        <v>2900</v>
      </c>
      <c r="G80" s="18">
        <v>5</v>
      </c>
      <c r="H80" s="33">
        <v>2822.64</v>
      </c>
      <c r="I80" s="17">
        <v>115</v>
      </c>
      <c r="J80" s="33">
        <v>24.54</v>
      </c>
      <c r="K80"/>
    </row>
    <row r="81" spans="1:11" x14ac:dyDescent="0.25">
      <c r="A81" s="59" t="s">
        <v>221</v>
      </c>
      <c r="B81" s="59" t="s">
        <v>73</v>
      </c>
      <c r="C81" s="17">
        <v>102</v>
      </c>
      <c r="D81" s="26">
        <f t="shared" si="3"/>
        <v>183.6</v>
      </c>
      <c r="E81" s="18">
        <v>586</v>
      </c>
      <c r="F81" s="34">
        <v>2200</v>
      </c>
      <c r="G81" s="18">
        <v>5</v>
      </c>
      <c r="H81" s="33">
        <v>2107.1</v>
      </c>
      <c r="I81" s="17">
        <v>71</v>
      </c>
      <c r="J81" s="33">
        <v>29.68</v>
      </c>
      <c r="K81"/>
    </row>
    <row r="82" spans="1:11" x14ac:dyDescent="0.25">
      <c r="A82" s="75" t="s">
        <v>279</v>
      </c>
      <c r="B82" s="75" t="s">
        <v>67</v>
      </c>
      <c r="C82" s="18">
        <v>73</v>
      </c>
      <c r="D82" s="26">
        <f t="shared" si="3"/>
        <v>131.4</v>
      </c>
      <c r="E82" s="18">
        <v>586</v>
      </c>
      <c r="F82" s="71">
        <f>AVERAGE(F77:F81)</f>
        <v>2040</v>
      </c>
      <c r="G82" s="23">
        <v>5</v>
      </c>
      <c r="H82" s="70">
        <f>AVERAGE(H77:H81)</f>
        <v>1973.6619999999998</v>
      </c>
      <c r="I82" s="68"/>
      <c r="J82" s="70">
        <v>40.398333333333333</v>
      </c>
      <c r="K82"/>
    </row>
    <row r="83" spans="1:11" x14ac:dyDescent="0.25">
      <c r="A83" s="75" t="s">
        <v>280</v>
      </c>
      <c r="B83" s="75" t="s">
        <v>68</v>
      </c>
      <c r="C83" s="18">
        <v>59</v>
      </c>
      <c r="D83" s="26">
        <f t="shared" si="3"/>
        <v>106.2</v>
      </c>
      <c r="E83" s="18">
        <v>586</v>
      </c>
      <c r="F83" s="66">
        <v>2040</v>
      </c>
      <c r="G83" s="23">
        <v>5</v>
      </c>
      <c r="H83" s="66">
        <v>1973.6619999999998</v>
      </c>
      <c r="I83" s="68"/>
      <c r="J83" s="66">
        <v>40.398333333333333</v>
      </c>
      <c r="K83"/>
    </row>
    <row r="84" spans="1:11" x14ac:dyDescent="0.25">
      <c r="A84" s="59" t="s">
        <v>226</v>
      </c>
      <c r="B84" s="59" t="s">
        <v>10</v>
      </c>
      <c r="C84" s="18"/>
      <c r="D84" s="26">
        <v>161</v>
      </c>
      <c r="E84" s="18">
        <f>36621</f>
        <v>36621</v>
      </c>
      <c r="F84" s="33">
        <v>6000</v>
      </c>
      <c r="G84" s="18">
        <v>5</v>
      </c>
      <c r="H84" s="33">
        <v>1936.35</v>
      </c>
      <c r="I84" s="17">
        <v>21</v>
      </c>
      <c r="J84" s="33">
        <v>92.21</v>
      </c>
      <c r="K84"/>
    </row>
    <row r="85" spans="1:11" x14ac:dyDescent="0.25">
      <c r="A85" s="59" t="s">
        <v>225</v>
      </c>
      <c r="B85" s="59" t="s">
        <v>9</v>
      </c>
      <c r="C85" s="18"/>
      <c r="D85" s="26">
        <f>AVERAGE(D77:D83)</f>
        <v>161.22857142857146</v>
      </c>
      <c r="E85" s="18">
        <v>586</v>
      </c>
      <c r="F85" s="33">
        <v>5158</v>
      </c>
      <c r="G85" s="18">
        <v>10</v>
      </c>
      <c r="H85" s="33">
        <v>1859.45</v>
      </c>
      <c r="I85" s="17">
        <v>36</v>
      </c>
      <c r="J85" s="33">
        <v>51.65</v>
      </c>
      <c r="K85"/>
    </row>
    <row r="86" spans="1:11" ht="18.75" x14ac:dyDescent="0.3">
      <c r="A86" s="94" t="s">
        <v>74</v>
      </c>
      <c r="B86" s="94"/>
      <c r="C86" s="95">
        <f>SUM(C77:C83)</f>
        <v>627</v>
      </c>
      <c r="D86" s="96">
        <f>SUM(D77:D83)</f>
        <v>1128.6000000000001</v>
      </c>
      <c r="E86" s="95">
        <f>AVERAGE(E77:E83)</f>
        <v>586</v>
      </c>
      <c r="F86" s="97">
        <f>SUM(F77:F85)</f>
        <v>25438</v>
      </c>
      <c r="G86" s="152">
        <f>AVERAGE(G77:G85)</f>
        <v>5.1111111111111107</v>
      </c>
      <c r="H86" s="97">
        <f>SUM(H77:H85)</f>
        <v>17611.434000000001</v>
      </c>
      <c r="I86" s="98">
        <f>SUM(I77:I85)</f>
        <v>381</v>
      </c>
      <c r="J86" s="97">
        <f>AVERAGE(J77:J83,J85)</f>
        <v>40.398333333333333</v>
      </c>
      <c r="K86"/>
    </row>
    <row r="87" spans="1:11" ht="18.75" x14ac:dyDescent="0.3">
      <c r="A87" s="99" t="s">
        <v>75</v>
      </c>
      <c r="B87" s="99"/>
      <c r="C87" s="100"/>
      <c r="D87" s="101"/>
      <c r="E87" s="100"/>
      <c r="F87" s="100"/>
      <c r="G87" s="100"/>
      <c r="H87" s="102"/>
      <c r="I87" s="103"/>
      <c r="J87" s="102"/>
      <c r="K87"/>
    </row>
    <row r="88" spans="1:11" x14ac:dyDescent="0.25">
      <c r="A88" s="60" t="s">
        <v>230</v>
      </c>
      <c r="B88" s="60" t="s">
        <v>76</v>
      </c>
      <c r="C88" s="19">
        <v>42</v>
      </c>
      <c r="D88" s="27">
        <f>C88*1.8</f>
        <v>75.600000000000009</v>
      </c>
      <c r="E88" s="19">
        <v>334</v>
      </c>
      <c r="F88" s="35">
        <v>500</v>
      </c>
      <c r="G88" s="23">
        <v>5</v>
      </c>
      <c r="H88" s="66">
        <v>752.98124999999993</v>
      </c>
      <c r="I88" s="68"/>
      <c r="J88" s="66">
        <v>67.595555555555563</v>
      </c>
      <c r="K88"/>
    </row>
    <row r="89" spans="1:11" x14ac:dyDescent="0.25">
      <c r="A89" s="60" t="s">
        <v>227</v>
      </c>
      <c r="B89" s="60" t="s">
        <v>77</v>
      </c>
      <c r="C89" s="19">
        <v>63</v>
      </c>
      <c r="D89" s="27">
        <f t="shared" ref="D89:D102" si="4">C89*1.8</f>
        <v>113.4</v>
      </c>
      <c r="E89" s="19">
        <v>334</v>
      </c>
      <c r="F89" s="35">
        <v>1200</v>
      </c>
      <c r="G89" s="19">
        <v>6</v>
      </c>
      <c r="H89" s="35">
        <v>1185.05</v>
      </c>
      <c r="I89" s="47">
        <v>19</v>
      </c>
      <c r="J89" s="35">
        <v>62.37</v>
      </c>
      <c r="K89"/>
    </row>
    <row r="90" spans="1:11" x14ac:dyDescent="0.25">
      <c r="A90" s="60" t="s">
        <v>232</v>
      </c>
      <c r="B90" s="60" t="s">
        <v>78</v>
      </c>
      <c r="C90" s="19">
        <v>14</v>
      </c>
      <c r="D90" s="27">
        <f t="shared" si="4"/>
        <v>25.2</v>
      </c>
      <c r="E90" s="19">
        <v>334</v>
      </c>
      <c r="F90" s="35">
        <v>1100</v>
      </c>
      <c r="G90" s="19">
        <v>5</v>
      </c>
      <c r="H90" s="35">
        <v>1098.6099999999999</v>
      </c>
      <c r="I90" s="47">
        <v>20</v>
      </c>
      <c r="J90" s="35">
        <v>54.93</v>
      </c>
      <c r="K90"/>
    </row>
    <row r="91" spans="1:11" x14ac:dyDescent="0.25">
      <c r="A91" s="60" t="s">
        <v>228</v>
      </c>
      <c r="B91" s="60" t="s">
        <v>79</v>
      </c>
      <c r="C91" s="19">
        <v>58</v>
      </c>
      <c r="D91" s="27">
        <f t="shared" si="4"/>
        <v>104.4</v>
      </c>
      <c r="E91" s="19">
        <v>334</v>
      </c>
      <c r="F91" s="35">
        <v>1500</v>
      </c>
      <c r="G91" s="19">
        <v>6</v>
      </c>
      <c r="H91" s="35">
        <v>1418.04</v>
      </c>
      <c r="I91" s="47">
        <v>12</v>
      </c>
      <c r="J91" s="35">
        <v>118.17</v>
      </c>
      <c r="K91"/>
    </row>
    <row r="92" spans="1:11" x14ac:dyDescent="0.25">
      <c r="A92" s="60" t="s">
        <v>233</v>
      </c>
      <c r="B92" s="60" t="s">
        <v>80</v>
      </c>
      <c r="C92" s="19">
        <v>13</v>
      </c>
      <c r="D92" s="27">
        <f t="shared" si="4"/>
        <v>23.400000000000002</v>
      </c>
      <c r="E92" s="19">
        <v>334</v>
      </c>
      <c r="F92" s="35">
        <v>1300</v>
      </c>
      <c r="G92" s="19">
        <v>5</v>
      </c>
      <c r="H92" s="35">
        <v>1220.44</v>
      </c>
      <c r="I92" s="47">
        <v>14</v>
      </c>
      <c r="J92" s="35">
        <v>87.17</v>
      </c>
      <c r="K92"/>
    </row>
    <row r="93" spans="1:11" x14ac:dyDescent="0.25">
      <c r="A93" s="60" t="s">
        <v>231</v>
      </c>
      <c r="B93" s="60" t="s">
        <v>81</v>
      </c>
      <c r="C93" s="19">
        <v>18</v>
      </c>
      <c r="D93" s="27">
        <f t="shared" si="4"/>
        <v>32.4</v>
      </c>
      <c r="E93" s="19">
        <v>334</v>
      </c>
      <c r="F93" s="35">
        <v>250</v>
      </c>
      <c r="G93" s="19">
        <v>7</v>
      </c>
      <c r="H93" s="35">
        <v>230.24</v>
      </c>
      <c r="I93" s="47">
        <v>5</v>
      </c>
      <c r="J93" s="35">
        <v>46.05</v>
      </c>
      <c r="K93"/>
    </row>
    <row r="94" spans="1:11" x14ac:dyDescent="0.25">
      <c r="A94" s="75" t="s">
        <v>229</v>
      </c>
      <c r="B94" s="75" t="s">
        <v>82</v>
      </c>
      <c r="C94" s="19">
        <v>30</v>
      </c>
      <c r="D94" s="27">
        <f t="shared" si="4"/>
        <v>54</v>
      </c>
      <c r="E94" s="19">
        <v>334</v>
      </c>
      <c r="F94" s="66">
        <f>AVERAGE(F88:F93,F95,F99:F101)</f>
        <v>760</v>
      </c>
      <c r="G94" s="23">
        <v>10</v>
      </c>
      <c r="H94" s="66">
        <f>AVERAGE(H89:H93,H95,H99,H101)</f>
        <v>752.98124999999993</v>
      </c>
      <c r="I94" s="68"/>
      <c r="J94" s="66">
        <v>67.595555555555563</v>
      </c>
      <c r="K94"/>
    </row>
    <row r="95" spans="1:11" x14ac:dyDescent="0.25">
      <c r="A95" s="60" t="s">
        <v>234</v>
      </c>
      <c r="B95" s="60" t="s">
        <v>83</v>
      </c>
      <c r="C95" s="19">
        <v>42</v>
      </c>
      <c r="D95" s="27">
        <f t="shared" si="4"/>
        <v>75.600000000000009</v>
      </c>
      <c r="E95" s="19">
        <v>334</v>
      </c>
      <c r="F95" s="35">
        <v>250</v>
      </c>
      <c r="G95" s="19">
        <v>7</v>
      </c>
      <c r="H95" s="35">
        <v>122.28</v>
      </c>
      <c r="I95" s="47">
        <v>2</v>
      </c>
      <c r="J95" s="35">
        <v>61.14</v>
      </c>
      <c r="K95"/>
    </row>
    <row r="96" spans="1:11" x14ac:dyDescent="0.25">
      <c r="A96" s="75" t="s">
        <v>234</v>
      </c>
      <c r="B96" s="75" t="s">
        <v>84</v>
      </c>
      <c r="C96" s="19">
        <v>35</v>
      </c>
      <c r="D96" s="27">
        <f t="shared" si="4"/>
        <v>63</v>
      </c>
      <c r="E96" s="19">
        <v>334</v>
      </c>
      <c r="F96" s="66">
        <v>760</v>
      </c>
      <c r="G96" s="23">
        <v>10</v>
      </c>
      <c r="H96" s="66">
        <v>752.98124999999993</v>
      </c>
      <c r="I96" s="68"/>
      <c r="J96" s="66">
        <v>67.595555555555563</v>
      </c>
      <c r="K96"/>
    </row>
    <row r="97" spans="1:11" x14ac:dyDescent="0.25">
      <c r="A97" s="75" t="s">
        <v>234</v>
      </c>
      <c r="B97" s="75" t="s">
        <v>85</v>
      </c>
      <c r="C97" s="19">
        <v>17</v>
      </c>
      <c r="D97" s="27">
        <f t="shared" si="4"/>
        <v>30.6</v>
      </c>
      <c r="E97" s="19">
        <v>334</v>
      </c>
      <c r="F97" s="66">
        <v>760</v>
      </c>
      <c r="G97" s="23">
        <v>10</v>
      </c>
      <c r="H97" s="66">
        <v>752.98124999999993</v>
      </c>
      <c r="I97" s="68"/>
      <c r="J97" s="66">
        <v>67.595555555555563</v>
      </c>
      <c r="K97"/>
    </row>
    <row r="98" spans="1:11" x14ac:dyDescent="0.25">
      <c r="A98" s="75" t="s">
        <v>240</v>
      </c>
      <c r="B98" s="75" t="s">
        <v>86</v>
      </c>
      <c r="C98" s="19">
        <v>112</v>
      </c>
      <c r="D98" s="27">
        <f t="shared" si="4"/>
        <v>201.6</v>
      </c>
      <c r="E98" s="19">
        <v>334</v>
      </c>
      <c r="F98" s="66">
        <v>760</v>
      </c>
      <c r="G98" s="23">
        <v>10</v>
      </c>
      <c r="H98" s="66">
        <v>752.98124999999993</v>
      </c>
      <c r="I98" s="68"/>
      <c r="J98" s="66">
        <v>67.595555555555563</v>
      </c>
      <c r="K98"/>
    </row>
    <row r="99" spans="1:11" x14ac:dyDescent="0.25">
      <c r="A99" s="60" t="s">
        <v>229</v>
      </c>
      <c r="B99" s="60" t="s">
        <v>87</v>
      </c>
      <c r="C99" s="19">
        <v>120</v>
      </c>
      <c r="D99" s="27">
        <f t="shared" si="4"/>
        <v>216</v>
      </c>
      <c r="E99" s="19">
        <v>334</v>
      </c>
      <c r="F99" s="35">
        <v>500</v>
      </c>
      <c r="G99" s="19">
        <v>7</v>
      </c>
      <c r="H99" s="35">
        <v>345.35</v>
      </c>
      <c r="I99" s="47">
        <v>4</v>
      </c>
      <c r="J99" s="35">
        <v>86.34</v>
      </c>
      <c r="K99"/>
    </row>
    <row r="100" spans="1:11" x14ac:dyDescent="0.25">
      <c r="A100" s="60" t="s">
        <v>236</v>
      </c>
      <c r="B100" s="60" t="s">
        <v>88</v>
      </c>
      <c r="C100" s="19">
        <v>43</v>
      </c>
      <c r="D100" s="27">
        <f t="shared" si="4"/>
        <v>77.400000000000006</v>
      </c>
      <c r="E100" s="19">
        <v>334</v>
      </c>
      <c r="F100" s="35">
        <v>500</v>
      </c>
      <c r="G100" s="23">
        <v>5</v>
      </c>
      <c r="H100" s="66">
        <v>752.98124999999993</v>
      </c>
      <c r="I100" s="68"/>
      <c r="J100" s="66">
        <v>67.595555555555578</v>
      </c>
      <c r="K100"/>
    </row>
    <row r="101" spans="1:11" x14ac:dyDescent="0.25">
      <c r="A101" s="60" t="s">
        <v>235</v>
      </c>
      <c r="B101" s="60" t="s">
        <v>89</v>
      </c>
      <c r="C101" s="19">
        <v>18</v>
      </c>
      <c r="D101" s="27">
        <f t="shared" si="4"/>
        <v>32.4</v>
      </c>
      <c r="E101" s="19">
        <v>334</v>
      </c>
      <c r="F101" s="35">
        <v>500</v>
      </c>
      <c r="G101" s="19">
        <v>5</v>
      </c>
      <c r="H101" s="35">
        <v>403.84</v>
      </c>
      <c r="I101" s="47">
        <v>14</v>
      </c>
      <c r="J101" s="35">
        <v>28.85</v>
      </c>
      <c r="K101"/>
    </row>
    <row r="102" spans="1:11" x14ac:dyDescent="0.25">
      <c r="A102" s="75" t="s">
        <v>239</v>
      </c>
      <c r="B102" s="75" t="s">
        <v>90</v>
      </c>
      <c r="C102" s="19">
        <v>10</v>
      </c>
      <c r="D102" s="27">
        <f t="shared" si="4"/>
        <v>18</v>
      </c>
      <c r="E102" s="19">
        <v>334</v>
      </c>
      <c r="F102" s="66">
        <v>760</v>
      </c>
      <c r="G102" s="23">
        <v>10</v>
      </c>
      <c r="H102" s="66">
        <v>752.98124999999993</v>
      </c>
      <c r="I102" s="68"/>
      <c r="J102" s="66">
        <v>67.595555555555578</v>
      </c>
      <c r="K102"/>
    </row>
    <row r="103" spans="1:11" x14ac:dyDescent="0.25">
      <c r="A103" s="60" t="s">
        <v>238</v>
      </c>
      <c r="B103" s="60" t="s">
        <v>10</v>
      </c>
      <c r="C103" s="19"/>
      <c r="D103" s="27">
        <v>76</v>
      </c>
      <c r="E103" s="19">
        <f>36621</f>
        <v>36621</v>
      </c>
      <c r="F103" s="35">
        <v>4000</v>
      </c>
      <c r="G103" s="19">
        <v>8</v>
      </c>
      <c r="H103" s="35">
        <v>2812.01</v>
      </c>
      <c r="I103" s="47">
        <v>15</v>
      </c>
      <c r="J103" s="35">
        <v>187.47</v>
      </c>
      <c r="K103"/>
    </row>
    <row r="104" spans="1:11" x14ac:dyDescent="0.25">
      <c r="A104" s="60" t="s">
        <v>237</v>
      </c>
      <c r="B104" s="60" t="s">
        <v>9</v>
      </c>
      <c r="C104" s="19"/>
      <c r="D104" s="27">
        <f>AVERAGE(D88:D102)</f>
        <v>76.200000000000017</v>
      </c>
      <c r="E104" s="19">
        <v>334</v>
      </c>
      <c r="F104" s="35">
        <v>2796</v>
      </c>
      <c r="G104" s="19">
        <v>3</v>
      </c>
      <c r="H104" s="35">
        <v>506.76</v>
      </c>
      <c r="I104" s="47">
        <v>8</v>
      </c>
      <c r="J104" s="35">
        <v>63.34</v>
      </c>
      <c r="K104"/>
    </row>
    <row r="105" spans="1:11" ht="18.75" x14ac:dyDescent="0.3">
      <c r="A105" s="104" t="s">
        <v>91</v>
      </c>
      <c r="B105" s="104"/>
      <c r="C105" s="105">
        <f>SUM(C88:C102)</f>
        <v>635</v>
      </c>
      <c r="D105" s="106">
        <f>SUM(D88:D102)</f>
        <v>1143.0000000000002</v>
      </c>
      <c r="E105" s="105">
        <f>AVERAGE(E88:E102)</f>
        <v>334</v>
      </c>
      <c r="F105" s="107">
        <f>SUM(F88:F104)</f>
        <v>18196</v>
      </c>
      <c r="G105" s="106">
        <f>AVERAGE(G88:G104)</f>
        <v>7</v>
      </c>
      <c r="H105" s="107">
        <f>SUM(H88:H104)</f>
        <v>14613.488750000002</v>
      </c>
      <c r="I105" s="108">
        <f>SUM(I88:I104)</f>
        <v>113</v>
      </c>
      <c r="J105" s="107">
        <f>AVERAGE(J88:J102,J104)</f>
        <v>67.595555555555578</v>
      </c>
      <c r="K105"/>
    </row>
    <row r="106" spans="1:11" ht="18.75" x14ac:dyDescent="0.3">
      <c r="A106" s="144" t="s">
        <v>92</v>
      </c>
      <c r="B106" s="61"/>
      <c r="C106" s="20"/>
      <c r="D106" s="28"/>
      <c r="E106" s="20"/>
      <c r="F106" s="36"/>
      <c r="G106" s="20"/>
      <c r="H106" s="36"/>
      <c r="I106" s="48"/>
      <c r="J106" s="36"/>
      <c r="K106"/>
    </row>
    <row r="107" spans="1:11" x14ac:dyDescent="0.25">
      <c r="A107" s="61" t="s">
        <v>242</v>
      </c>
      <c r="B107" s="61" t="s">
        <v>93</v>
      </c>
      <c r="C107" s="20">
        <v>77</v>
      </c>
      <c r="D107" s="28">
        <f>C107*1.8</f>
        <v>138.6</v>
      </c>
      <c r="E107" s="20">
        <v>1086</v>
      </c>
      <c r="F107" s="36">
        <v>1200</v>
      </c>
      <c r="G107" s="20">
        <v>5</v>
      </c>
      <c r="H107" s="36">
        <v>1102.94</v>
      </c>
      <c r="I107" s="48">
        <v>12</v>
      </c>
      <c r="J107" s="36">
        <v>91.91</v>
      </c>
      <c r="K107"/>
    </row>
    <row r="108" spans="1:11" x14ac:dyDescent="0.25">
      <c r="A108" s="61" t="s">
        <v>253</v>
      </c>
      <c r="B108" s="61" t="s">
        <v>94</v>
      </c>
      <c r="C108" s="20">
        <v>28</v>
      </c>
      <c r="D108" s="28">
        <f t="shared" ref="D108:D121" si="5">C108*1.8</f>
        <v>50.4</v>
      </c>
      <c r="E108" s="20">
        <v>1086</v>
      </c>
      <c r="F108" s="36">
        <v>1400</v>
      </c>
      <c r="G108" s="20">
        <v>3</v>
      </c>
      <c r="H108" s="36">
        <v>507.67</v>
      </c>
      <c r="I108" s="48">
        <v>6</v>
      </c>
      <c r="J108" s="36">
        <v>84.61</v>
      </c>
      <c r="K108"/>
    </row>
    <row r="109" spans="1:11" x14ac:dyDescent="0.25">
      <c r="A109" s="61" t="s">
        <v>249</v>
      </c>
      <c r="B109" s="61" t="s">
        <v>104</v>
      </c>
      <c r="C109" s="20">
        <v>74</v>
      </c>
      <c r="D109" s="28">
        <f t="shared" si="5"/>
        <v>133.20000000000002</v>
      </c>
      <c r="E109" s="20">
        <v>1086</v>
      </c>
      <c r="F109" s="36">
        <v>700</v>
      </c>
      <c r="G109" s="20">
        <v>6</v>
      </c>
      <c r="H109" s="36">
        <v>662.57</v>
      </c>
      <c r="I109" s="48">
        <v>10</v>
      </c>
      <c r="J109" s="36">
        <v>66.260000000000005</v>
      </c>
      <c r="K109"/>
    </row>
    <row r="110" spans="1:11" x14ac:dyDescent="0.25">
      <c r="A110" s="61" t="s">
        <v>244</v>
      </c>
      <c r="B110" s="61" t="s">
        <v>95</v>
      </c>
      <c r="C110" s="20">
        <v>42</v>
      </c>
      <c r="D110" s="28">
        <f t="shared" si="5"/>
        <v>75.600000000000009</v>
      </c>
      <c r="E110" s="20">
        <v>1086</v>
      </c>
      <c r="F110" s="36">
        <v>600</v>
      </c>
      <c r="G110" s="23">
        <v>8</v>
      </c>
      <c r="H110" s="66">
        <f>AVERAGE(H107:H109,H111:H112,H114,H116:H118,H119:H121)</f>
        <v>719.85583333333341</v>
      </c>
      <c r="I110" s="68"/>
      <c r="J110" s="66">
        <v>77.508461538461546</v>
      </c>
      <c r="K110"/>
    </row>
    <row r="111" spans="1:11" x14ac:dyDescent="0.25">
      <c r="A111" s="61" t="s">
        <v>245</v>
      </c>
      <c r="B111" s="61" t="s">
        <v>96</v>
      </c>
      <c r="C111" s="20">
        <v>31</v>
      </c>
      <c r="D111" s="28">
        <f t="shared" si="5"/>
        <v>55.800000000000004</v>
      </c>
      <c r="E111" s="20">
        <v>1086</v>
      </c>
      <c r="F111" s="36">
        <v>800</v>
      </c>
      <c r="G111" s="20">
        <v>5</v>
      </c>
      <c r="H111" s="36">
        <v>729.27</v>
      </c>
      <c r="I111" s="48">
        <v>9</v>
      </c>
      <c r="J111" s="36">
        <v>81.03</v>
      </c>
      <c r="K111"/>
    </row>
    <row r="112" spans="1:11" x14ac:dyDescent="0.25">
      <c r="A112" s="61" t="s">
        <v>246</v>
      </c>
      <c r="B112" s="61" t="s">
        <v>97</v>
      </c>
      <c r="C112" s="20">
        <v>41</v>
      </c>
      <c r="D112" s="28">
        <f t="shared" si="5"/>
        <v>73.8</v>
      </c>
      <c r="E112" s="20">
        <v>1086</v>
      </c>
      <c r="F112" s="36">
        <v>300</v>
      </c>
      <c r="G112" s="20">
        <v>5</v>
      </c>
      <c r="H112" s="36">
        <v>260.41000000000003</v>
      </c>
      <c r="I112" s="48">
        <v>4</v>
      </c>
      <c r="J112" s="36">
        <v>65.099999999999994</v>
      </c>
      <c r="K112"/>
    </row>
    <row r="113" spans="1:11" x14ac:dyDescent="0.25">
      <c r="A113" s="61" t="s">
        <v>252</v>
      </c>
      <c r="B113" s="61" t="s">
        <v>98</v>
      </c>
      <c r="C113" s="20">
        <v>54</v>
      </c>
      <c r="D113" s="28">
        <f t="shared" si="5"/>
        <v>97.2</v>
      </c>
      <c r="E113" s="20">
        <v>1086</v>
      </c>
      <c r="F113" s="66">
        <f>AVERAGE(F107:F112,F114:F118,F119:F121)</f>
        <v>792.85714285714289</v>
      </c>
      <c r="G113" s="23">
        <v>5</v>
      </c>
      <c r="H113" s="66">
        <v>719.85583333333341</v>
      </c>
      <c r="I113" s="68"/>
      <c r="J113" s="66">
        <v>77.508461538461546</v>
      </c>
      <c r="K113"/>
    </row>
    <row r="114" spans="1:11" x14ac:dyDescent="0.25">
      <c r="A114" s="61" t="s">
        <v>241</v>
      </c>
      <c r="B114" s="61" t="s">
        <v>99</v>
      </c>
      <c r="C114" s="20">
        <v>42</v>
      </c>
      <c r="D114" s="28">
        <f t="shared" si="5"/>
        <v>75.600000000000009</v>
      </c>
      <c r="E114" s="20">
        <v>1086</v>
      </c>
      <c r="F114" s="36">
        <v>1700</v>
      </c>
      <c r="G114" s="20">
        <v>5</v>
      </c>
      <c r="H114" s="36">
        <v>1635.84</v>
      </c>
      <c r="I114" s="48">
        <v>20</v>
      </c>
      <c r="J114" s="36">
        <v>81.790000000000006</v>
      </c>
      <c r="K114"/>
    </row>
    <row r="115" spans="1:11" x14ac:dyDescent="0.25">
      <c r="A115" s="61" t="s">
        <v>251</v>
      </c>
      <c r="B115" s="61" t="s">
        <v>100</v>
      </c>
      <c r="C115" s="20">
        <v>24</v>
      </c>
      <c r="D115" s="28">
        <f t="shared" si="5"/>
        <v>43.2</v>
      </c>
      <c r="E115" s="20">
        <v>1086</v>
      </c>
      <c r="F115" s="36">
        <v>400</v>
      </c>
      <c r="G115" s="23">
        <v>5</v>
      </c>
      <c r="H115" s="66">
        <v>719.85583333333341</v>
      </c>
      <c r="I115" s="68"/>
      <c r="J115" s="66">
        <v>77.508461538461532</v>
      </c>
      <c r="K115"/>
    </row>
    <row r="116" spans="1:11" x14ac:dyDescent="0.25">
      <c r="A116" s="61" t="s">
        <v>247</v>
      </c>
      <c r="B116" s="61" t="s">
        <v>101</v>
      </c>
      <c r="C116" s="20">
        <v>27</v>
      </c>
      <c r="D116" s="28">
        <f t="shared" si="5"/>
        <v>48.6</v>
      </c>
      <c r="E116" s="20">
        <v>1086</v>
      </c>
      <c r="F116" s="36">
        <v>500</v>
      </c>
      <c r="G116" s="20">
        <v>5</v>
      </c>
      <c r="H116" s="36">
        <v>491.14</v>
      </c>
      <c r="I116" s="48">
        <v>4</v>
      </c>
      <c r="J116" s="36">
        <v>122.78</v>
      </c>
      <c r="K116"/>
    </row>
    <row r="117" spans="1:11" x14ac:dyDescent="0.25">
      <c r="A117" s="61" t="s">
        <v>250</v>
      </c>
      <c r="B117" s="61" t="s">
        <v>102</v>
      </c>
      <c r="C117" s="20">
        <v>29</v>
      </c>
      <c r="D117" s="28">
        <f t="shared" si="5"/>
        <v>52.2</v>
      </c>
      <c r="E117" s="20">
        <v>1086</v>
      </c>
      <c r="F117" s="36">
        <v>1000</v>
      </c>
      <c r="G117" s="20">
        <v>5</v>
      </c>
      <c r="H117" s="36">
        <v>912.04</v>
      </c>
      <c r="I117" s="48">
        <v>14</v>
      </c>
      <c r="J117" s="36">
        <v>65.150000000000006</v>
      </c>
      <c r="K117"/>
    </row>
    <row r="118" spans="1:11" x14ac:dyDescent="0.25">
      <c r="A118" s="61" t="s">
        <v>248</v>
      </c>
      <c r="B118" s="61" t="s">
        <v>103</v>
      </c>
      <c r="C118" s="20">
        <v>63</v>
      </c>
      <c r="D118" s="28">
        <f t="shared" si="5"/>
        <v>113.4</v>
      </c>
      <c r="E118" s="20">
        <v>1086</v>
      </c>
      <c r="F118" s="36">
        <v>700</v>
      </c>
      <c r="G118" s="20">
        <v>5</v>
      </c>
      <c r="H118" s="36">
        <v>671.06</v>
      </c>
      <c r="I118" s="48">
        <v>9</v>
      </c>
      <c r="J118" s="36">
        <v>74.56</v>
      </c>
      <c r="K118"/>
    </row>
    <row r="119" spans="1:11" x14ac:dyDescent="0.25">
      <c r="A119" s="61" t="s">
        <v>243</v>
      </c>
      <c r="B119" s="61" t="s">
        <v>105</v>
      </c>
      <c r="C119" s="20">
        <v>31</v>
      </c>
      <c r="D119" s="28">
        <f t="shared" si="5"/>
        <v>55.800000000000004</v>
      </c>
      <c r="E119" s="20">
        <v>1086</v>
      </c>
      <c r="F119" s="36">
        <v>700</v>
      </c>
      <c r="G119" s="20">
        <v>5</v>
      </c>
      <c r="H119" s="36">
        <v>628</v>
      </c>
      <c r="I119" s="48">
        <v>9</v>
      </c>
      <c r="J119" s="36">
        <v>69.78</v>
      </c>
      <c r="K119"/>
    </row>
    <row r="120" spans="1:11" x14ac:dyDescent="0.25">
      <c r="A120" s="61" t="s">
        <v>254</v>
      </c>
      <c r="B120" s="61" t="s">
        <v>106</v>
      </c>
      <c r="C120" s="20">
        <v>24</v>
      </c>
      <c r="D120" s="28">
        <f t="shared" si="5"/>
        <v>43.2</v>
      </c>
      <c r="E120" s="20">
        <v>1086</v>
      </c>
      <c r="F120" s="36">
        <v>700</v>
      </c>
      <c r="G120" s="20">
        <v>5</v>
      </c>
      <c r="H120" s="36">
        <v>698.72</v>
      </c>
      <c r="I120" s="48">
        <v>12</v>
      </c>
      <c r="J120" s="36">
        <v>58.23</v>
      </c>
      <c r="K120"/>
    </row>
    <row r="121" spans="1:11" x14ac:dyDescent="0.25">
      <c r="A121" s="61" t="s">
        <v>255</v>
      </c>
      <c r="B121" s="61" t="s">
        <v>107</v>
      </c>
      <c r="C121" s="20">
        <v>41</v>
      </c>
      <c r="D121" s="28">
        <f t="shared" si="5"/>
        <v>73.8</v>
      </c>
      <c r="E121" s="20">
        <v>1086</v>
      </c>
      <c r="F121" s="36">
        <v>400</v>
      </c>
      <c r="G121" s="20">
        <v>5</v>
      </c>
      <c r="H121" s="36">
        <v>338.61</v>
      </c>
      <c r="I121" s="48">
        <v>4</v>
      </c>
      <c r="J121" s="36">
        <v>84.65</v>
      </c>
      <c r="K121"/>
    </row>
    <row r="122" spans="1:11" x14ac:dyDescent="0.25">
      <c r="A122" s="61" t="s">
        <v>271</v>
      </c>
      <c r="B122" s="61" t="s">
        <v>10</v>
      </c>
      <c r="C122" s="20"/>
      <c r="D122" s="28">
        <v>74</v>
      </c>
      <c r="E122" s="20">
        <f>36621</f>
        <v>36621</v>
      </c>
      <c r="F122" s="36">
        <v>7000</v>
      </c>
      <c r="G122" s="20">
        <v>5</v>
      </c>
      <c r="H122" s="36">
        <v>5140.04</v>
      </c>
      <c r="I122" s="48">
        <v>63</v>
      </c>
      <c r="J122" s="36">
        <v>81.59</v>
      </c>
      <c r="K122"/>
    </row>
    <row r="123" spans="1:11" x14ac:dyDescent="0.25">
      <c r="A123" s="61" t="s">
        <v>270</v>
      </c>
      <c r="B123" s="61" t="s">
        <v>9</v>
      </c>
      <c r="C123" s="20"/>
      <c r="D123" s="28">
        <f>AVERAGE(D107:D121)</f>
        <v>75.36</v>
      </c>
      <c r="E123" s="20">
        <v>1086</v>
      </c>
      <c r="F123" s="36">
        <v>5552</v>
      </c>
      <c r="G123" s="20">
        <v>5</v>
      </c>
      <c r="H123" s="36">
        <v>1914.5</v>
      </c>
      <c r="I123" s="48">
        <v>31</v>
      </c>
      <c r="J123" s="36">
        <v>61.76</v>
      </c>
      <c r="K123"/>
    </row>
    <row r="124" spans="1:11" ht="18.75" x14ac:dyDescent="0.3">
      <c r="A124" s="109" t="s">
        <v>108</v>
      </c>
      <c r="B124" s="109"/>
      <c r="C124" s="110">
        <f>SUM(C107:C121)</f>
        <v>628</v>
      </c>
      <c r="D124" s="111">
        <f>SUM(D107:D121)</f>
        <v>1130.4000000000001</v>
      </c>
      <c r="E124" s="110">
        <f>AVERAGE(E107:E121)</f>
        <v>1086</v>
      </c>
      <c r="F124" s="112">
        <f>SUM(F107:F123)</f>
        <v>24444.857142857145</v>
      </c>
      <c r="G124" s="153">
        <f>AVERAGE(G107:G123)</f>
        <v>5.117647058823529</v>
      </c>
      <c r="H124" s="112">
        <f>SUM(H107:H123)</f>
        <v>17852.377499999999</v>
      </c>
      <c r="I124" s="113">
        <f>SUM(I107:I123)</f>
        <v>207</v>
      </c>
      <c r="J124" s="112">
        <f>AVERAGE(J107:J121,J123)</f>
        <v>77.508461538461546</v>
      </c>
      <c r="K124"/>
    </row>
    <row r="125" spans="1:11" ht="18.75" x14ac:dyDescent="0.3">
      <c r="A125" s="145" t="s">
        <v>109</v>
      </c>
      <c r="B125" s="62"/>
      <c r="C125" s="3"/>
      <c r="D125" s="29"/>
      <c r="E125" s="3"/>
      <c r="F125" s="3"/>
      <c r="G125" s="3"/>
      <c r="H125" s="37"/>
      <c r="I125" s="49"/>
      <c r="J125" s="37"/>
      <c r="K125"/>
    </row>
    <row r="126" spans="1:11" x14ac:dyDescent="0.25">
      <c r="A126" s="62" t="s">
        <v>259</v>
      </c>
      <c r="B126" s="62" t="s">
        <v>110</v>
      </c>
      <c r="C126" s="3">
        <v>101</v>
      </c>
      <c r="D126" s="29">
        <f t="shared" ref="D126:D140" si="6">C126*1.8</f>
        <v>181.8</v>
      </c>
      <c r="E126" s="3">
        <v>698</v>
      </c>
      <c r="F126" s="37">
        <v>1300</v>
      </c>
      <c r="G126" s="3">
        <v>5</v>
      </c>
      <c r="H126" s="37">
        <v>1238.56</v>
      </c>
      <c r="I126" s="49">
        <v>13</v>
      </c>
      <c r="J126" s="37">
        <v>95.27</v>
      </c>
      <c r="K126"/>
    </row>
    <row r="127" spans="1:11" x14ac:dyDescent="0.25">
      <c r="A127" s="75" t="s">
        <v>258</v>
      </c>
      <c r="B127" s="75" t="s">
        <v>111</v>
      </c>
      <c r="C127" s="3">
        <v>24</v>
      </c>
      <c r="D127" s="29">
        <f t="shared" si="6"/>
        <v>43.2</v>
      </c>
      <c r="E127" s="3">
        <v>698</v>
      </c>
      <c r="F127" s="66">
        <v>1350</v>
      </c>
      <c r="G127" s="23">
        <v>5</v>
      </c>
      <c r="H127" s="66">
        <v>1274.4483333333333</v>
      </c>
      <c r="I127" s="68"/>
      <c r="J127" s="66">
        <v>99.865714285714276</v>
      </c>
      <c r="K127"/>
    </row>
    <row r="128" spans="1:11" x14ac:dyDescent="0.25">
      <c r="A128" s="75" t="s">
        <v>269</v>
      </c>
      <c r="B128" s="75" t="s">
        <v>112</v>
      </c>
      <c r="C128" s="3">
        <v>101</v>
      </c>
      <c r="D128" s="29">
        <f t="shared" si="6"/>
        <v>181.8</v>
      </c>
      <c r="E128" s="3">
        <v>698</v>
      </c>
      <c r="F128" s="66">
        <v>1350</v>
      </c>
      <c r="G128" s="23">
        <v>5</v>
      </c>
      <c r="H128" s="66">
        <v>1274.4483333333333</v>
      </c>
      <c r="I128" s="68"/>
      <c r="J128" s="66">
        <v>99.865714285714276</v>
      </c>
      <c r="K128"/>
    </row>
    <row r="129" spans="1:11" x14ac:dyDescent="0.25">
      <c r="A129" s="62" t="s">
        <v>256</v>
      </c>
      <c r="B129" s="62" t="s">
        <v>113</v>
      </c>
      <c r="C129" s="3">
        <v>127</v>
      </c>
      <c r="D129" s="29">
        <f t="shared" si="6"/>
        <v>228.6</v>
      </c>
      <c r="E129" s="3">
        <v>698</v>
      </c>
      <c r="F129" s="37">
        <v>1100</v>
      </c>
      <c r="G129" s="3">
        <v>5</v>
      </c>
      <c r="H129" s="37">
        <v>1032.48</v>
      </c>
      <c r="I129" s="49">
        <v>10</v>
      </c>
      <c r="J129" s="37">
        <v>103.25</v>
      </c>
      <c r="K129"/>
    </row>
    <row r="130" spans="1:11" x14ac:dyDescent="0.25">
      <c r="A130" s="75" t="s">
        <v>268</v>
      </c>
      <c r="B130" s="75" t="s">
        <v>114</v>
      </c>
      <c r="C130" s="3">
        <v>101</v>
      </c>
      <c r="D130" s="29">
        <f t="shared" si="6"/>
        <v>181.8</v>
      </c>
      <c r="E130" s="3">
        <v>698</v>
      </c>
      <c r="F130" s="66">
        <v>1350</v>
      </c>
      <c r="G130" s="23">
        <v>1</v>
      </c>
      <c r="H130" s="66">
        <v>1274.4483333333333</v>
      </c>
      <c r="I130" s="68"/>
      <c r="J130" s="66">
        <v>99.865714285714276</v>
      </c>
      <c r="K130"/>
    </row>
    <row r="131" spans="1:11" x14ac:dyDescent="0.25">
      <c r="A131" s="62" t="s">
        <v>257</v>
      </c>
      <c r="B131" s="62" t="s">
        <v>115</v>
      </c>
      <c r="C131" s="3">
        <v>29</v>
      </c>
      <c r="D131" s="29">
        <f t="shared" si="6"/>
        <v>52.2</v>
      </c>
      <c r="E131" s="3">
        <v>698</v>
      </c>
      <c r="F131" s="37">
        <v>1400</v>
      </c>
      <c r="G131" s="3">
        <v>1</v>
      </c>
      <c r="H131" s="37">
        <v>1333.18</v>
      </c>
      <c r="I131" s="49">
        <v>11</v>
      </c>
      <c r="J131" s="37">
        <v>121.2</v>
      </c>
      <c r="K131"/>
    </row>
    <row r="132" spans="1:11" x14ac:dyDescent="0.25">
      <c r="A132" s="75" t="s">
        <v>267</v>
      </c>
      <c r="B132" s="75" t="s">
        <v>116</v>
      </c>
      <c r="C132" s="3">
        <v>101</v>
      </c>
      <c r="D132" s="29">
        <f t="shared" si="6"/>
        <v>181.8</v>
      </c>
      <c r="E132" s="3">
        <v>698</v>
      </c>
      <c r="F132" s="66">
        <v>1350</v>
      </c>
      <c r="G132" s="23">
        <v>1</v>
      </c>
      <c r="H132" s="66">
        <v>1274.4483333333333</v>
      </c>
      <c r="I132" s="68"/>
      <c r="J132" s="66">
        <v>99.865714285714276</v>
      </c>
      <c r="K132"/>
    </row>
    <row r="133" spans="1:11" x14ac:dyDescent="0.25">
      <c r="A133" s="75" t="s">
        <v>266</v>
      </c>
      <c r="B133" s="75" t="s">
        <v>121</v>
      </c>
      <c r="C133" s="3">
        <v>24</v>
      </c>
      <c r="D133" s="29">
        <f t="shared" si="6"/>
        <v>43.2</v>
      </c>
      <c r="E133" s="3">
        <v>698</v>
      </c>
      <c r="F133" s="66">
        <v>1350</v>
      </c>
      <c r="G133" s="23">
        <v>5</v>
      </c>
      <c r="H133" s="66">
        <v>1274.4483333333333</v>
      </c>
      <c r="I133" s="68"/>
      <c r="J133" s="66">
        <v>99.865714285714276</v>
      </c>
      <c r="K133"/>
    </row>
    <row r="134" spans="1:11" x14ac:dyDescent="0.25">
      <c r="A134" s="75" t="s">
        <v>265</v>
      </c>
      <c r="B134" s="75" t="s">
        <v>117</v>
      </c>
      <c r="C134" s="3">
        <v>30</v>
      </c>
      <c r="D134" s="29">
        <f t="shared" si="6"/>
        <v>54</v>
      </c>
      <c r="E134" s="3">
        <v>698</v>
      </c>
      <c r="F134" s="66">
        <v>1350</v>
      </c>
      <c r="G134" s="23">
        <v>5</v>
      </c>
      <c r="H134" s="66">
        <v>1274.4483333333333</v>
      </c>
      <c r="I134" s="68"/>
      <c r="J134" s="66">
        <v>99.865714285714276</v>
      </c>
      <c r="K134"/>
    </row>
    <row r="135" spans="1:11" x14ac:dyDescent="0.25">
      <c r="A135" s="62" t="s">
        <v>258</v>
      </c>
      <c r="B135" s="62" t="s">
        <v>118</v>
      </c>
      <c r="C135" s="3">
        <v>42</v>
      </c>
      <c r="D135" s="29">
        <f t="shared" si="6"/>
        <v>75.600000000000009</v>
      </c>
      <c r="E135" s="3">
        <v>698</v>
      </c>
      <c r="F135" s="37">
        <v>1600</v>
      </c>
      <c r="G135" s="3">
        <v>1</v>
      </c>
      <c r="H135" s="37">
        <v>1515.61</v>
      </c>
      <c r="I135" s="49">
        <v>15</v>
      </c>
      <c r="J135" s="37">
        <v>101.04</v>
      </c>
      <c r="K135"/>
    </row>
    <row r="136" spans="1:11" x14ac:dyDescent="0.25">
      <c r="A136" s="62" t="s">
        <v>260</v>
      </c>
      <c r="B136" s="62" t="s">
        <v>119</v>
      </c>
      <c r="C136" s="3">
        <v>83</v>
      </c>
      <c r="D136" s="29">
        <f t="shared" si="6"/>
        <v>149.4</v>
      </c>
      <c r="E136" s="3">
        <v>698</v>
      </c>
      <c r="F136" s="37">
        <v>1600</v>
      </c>
      <c r="G136" s="3">
        <v>1</v>
      </c>
      <c r="H136" s="37">
        <v>1501.81</v>
      </c>
      <c r="I136" s="49">
        <v>12</v>
      </c>
      <c r="J136" s="37">
        <v>125.15</v>
      </c>
      <c r="K136"/>
    </row>
    <row r="137" spans="1:11" x14ac:dyDescent="0.25">
      <c r="A137" s="75" t="s">
        <v>264</v>
      </c>
      <c r="B137" s="75" t="s">
        <v>120</v>
      </c>
      <c r="C137" s="3">
        <v>252</v>
      </c>
      <c r="D137" s="29">
        <f t="shared" si="6"/>
        <v>453.6</v>
      </c>
      <c r="E137" s="3">
        <v>698</v>
      </c>
      <c r="F137" s="66">
        <v>1350</v>
      </c>
      <c r="G137" s="23">
        <v>5</v>
      </c>
      <c r="H137" s="66">
        <v>1274.4483333333333</v>
      </c>
      <c r="I137" s="68"/>
      <c r="J137" s="66">
        <v>99.865714285714276</v>
      </c>
      <c r="K137"/>
    </row>
    <row r="138" spans="1:11" x14ac:dyDescent="0.25">
      <c r="A138" s="75" t="s">
        <v>263</v>
      </c>
      <c r="B138" s="75" t="s">
        <v>122</v>
      </c>
      <c r="C138" s="3">
        <v>12</v>
      </c>
      <c r="D138" s="29">
        <f t="shared" si="6"/>
        <v>21.6</v>
      </c>
      <c r="E138" s="3">
        <v>698</v>
      </c>
      <c r="F138" s="66">
        <v>1350</v>
      </c>
      <c r="G138" s="23">
        <v>5</v>
      </c>
      <c r="H138" s="66">
        <v>1274.4483333333333</v>
      </c>
      <c r="I138" s="68"/>
      <c r="J138" s="66">
        <v>99.865714285714276</v>
      </c>
      <c r="K138"/>
    </row>
    <row r="139" spans="1:11" x14ac:dyDescent="0.25">
      <c r="A139" s="75" t="s">
        <v>272</v>
      </c>
      <c r="B139" s="75" t="s">
        <v>123</v>
      </c>
      <c r="C139" s="3">
        <v>478</v>
      </c>
      <c r="D139" s="29">
        <f t="shared" si="6"/>
        <v>860.4</v>
      </c>
      <c r="E139" s="3">
        <v>698</v>
      </c>
      <c r="F139" s="37">
        <v>1100</v>
      </c>
      <c r="G139" s="3">
        <v>5</v>
      </c>
      <c r="H139" s="37">
        <v>1025.05</v>
      </c>
      <c r="I139" s="49">
        <v>16</v>
      </c>
      <c r="J139" s="37">
        <v>64.069999999999993</v>
      </c>
      <c r="K139"/>
    </row>
    <row r="140" spans="1:11" x14ac:dyDescent="0.25">
      <c r="A140" s="75" t="s">
        <v>282</v>
      </c>
      <c r="B140" s="75" t="s">
        <v>124</v>
      </c>
      <c r="C140" s="3">
        <v>12</v>
      </c>
      <c r="D140" s="29">
        <f t="shared" si="6"/>
        <v>21.6</v>
      </c>
      <c r="E140" s="3">
        <v>698</v>
      </c>
      <c r="F140" s="66">
        <v>1350</v>
      </c>
      <c r="G140" s="23">
        <v>5</v>
      </c>
      <c r="H140" s="66">
        <v>1274.4483333333333</v>
      </c>
      <c r="I140" s="68"/>
      <c r="J140" s="66">
        <v>99.86571428571429</v>
      </c>
      <c r="K140"/>
    </row>
    <row r="141" spans="1:11" x14ac:dyDescent="0.25">
      <c r="A141" s="62" t="s">
        <v>262</v>
      </c>
      <c r="B141" s="62" t="s">
        <v>10</v>
      </c>
      <c r="C141" s="3"/>
      <c r="D141" s="29">
        <v>182</v>
      </c>
      <c r="E141" s="3">
        <f>36621</f>
        <v>36621</v>
      </c>
      <c r="F141" s="37">
        <v>5000</v>
      </c>
      <c r="G141" s="18">
        <v>5</v>
      </c>
      <c r="H141" s="37">
        <v>5617.08</v>
      </c>
      <c r="I141" s="49">
        <v>26</v>
      </c>
      <c r="J141" s="37">
        <v>216.04</v>
      </c>
      <c r="K141"/>
    </row>
    <row r="142" spans="1:11" x14ac:dyDescent="0.25">
      <c r="A142" s="62" t="s">
        <v>261</v>
      </c>
      <c r="B142" s="62" t="s">
        <v>9</v>
      </c>
      <c r="C142" s="3"/>
      <c r="D142" s="29">
        <f>AVERAGE(D126:D140)</f>
        <v>182.04</v>
      </c>
      <c r="E142" s="3">
        <v>698</v>
      </c>
      <c r="F142" s="37">
        <v>2990</v>
      </c>
      <c r="G142" s="3">
        <v>5</v>
      </c>
      <c r="H142" s="37">
        <v>712</v>
      </c>
      <c r="I142" s="49">
        <v>8</v>
      </c>
      <c r="J142" s="37">
        <v>89.08</v>
      </c>
      <c r="K142"/>
    </row>
    <row r="143" spans="1:11" ht="18.75" x14ac:dyDescent="0.3">
      <c r="A143" s="114" t="s">
        <v>125</v>
      </c>
      <c r="B143" s="114"/>
      <c r="C143" s="115">
        <f>SUM(C126:C140)</f>
        <v>1517</v>
      </c>
      <c r="D143" s="116">
        <f>SUM(D126:D140)</f>
        <v>2730.6</v>
      </c>
      <c r="E143" s="115">
        <f>AVERAGE(E126:E140)</f>
        <v>698</v>
      </c>
      <c r="F143" s="117">
        <f>SUM(F126:F142)</f>
        <v>28240</v>
      </c>
      <c r="G143" s="154">
        <f>AVERAGE(G126:G142)</f>
        <v>3.8235294117647061</v>
      </c>
      <c r="H143" s="117">
        <f>SUM(H126:H142)</f>
        <v>25445.805</v>
      </c>
      <c r="I143" s="118">
        <f>SUM(I126:I142)</f>
        <v>111</v>
      </c>
      <c r="J143" s="117">
        <f>AVERAGE(J126:J140,J142)</f>
        <v>99.86571428571429</v>
      </c>
      <c r="K143"/>
    </row>
    <row r="144" spans="1:11" ht="18.75" x14ac:dyDescent="0.3">
      <c r="A144" s="140" t="s">
        <v>126</v>
      </c>
      <c r="B144" s="55"/>
      <c r="C144" s="2"/>
      <c r="D144" s="2"/>
      <c r="E144" s="1"/>
      <c r="F144" s="12"/>
      <c r="G144" s="2"/>
      <c r="H144" s="12"/>
      <c r="I144" s="21"/>
      <c r="J144" s="12"/>
      <c r="K144"/>
    </row>
    <row r="145" spans="1:11" x14ac:dyDescent="0.25">
      <c r="A145" s="55" t="s">
        <v>274</v>
      </c>
      <c r="B145" s="55" t="s">
        <v>10</v>
      </c>
      <c r="C145" s="1"/>
      <c r="D145" s="13">
        <f>AVERAGE(D126:D140,D107:D121,D88:D102,D77:D83,D60:D72,D40:D55,D17:D35,D5:D12)</f>
        <v>135.56754385964908</v>
      </c>
      <c r="E145" s="2">
        <f>36621</f>
        <v>36621</v>
      </c>
      <c r="F145" s="40">
        <v>5500</v>
      </c>
      <c r="G145" s="2">
        <v>5</v>
      </c>
      <c r="H145" s="40">
        <v>4691.59</v>
      </c>
      <c r="I145" s="21">
        <v>54</v>
      </c>
      <c r="J145" s="40">
        <v>86.88</v>
      </c>
      <c r="K145"/>
    </row>
    <row r="146" spans="1:11" x14ac:dyDescent="0.25">
      <c r="A146" s="55" t="s">
        <v>273</v>
      </c>
      <c r="B146" s="55" t="s">
        <v>9</v>
      </c>
      <c r="C146" s="1"/>
      <c r="D146" s="13">
        <v>128.8310526315789</v>
      </c>
      <c r="E146" s="2">
        <v>1868</v>
      </c>
      <c r="F146" s="40">
        <v>7244</v>
      </c>
      <c r="G146" s="2">
        <v>5</v>
      </c>
      <c r="H146" s="40">
        <v>5247.18</v>
      </c>
      <c r="I146" s="21">
        <v>132</v>
      </c>
      <c r="J146" s="40">
        <v>39.75</v>
      </c>
      <c r="K146"/>
    </row>
    <row r="147" spans="1:11" ht="18.75" x14ac:dyDescent="0.3">
      <c r="A147" s="119" t="s">
        <v>140</v>
      </c>
      <c r="B147" s="119"/>
      <c r="C147" s="93"/>
      <c r="D147" s="120">
        <f>AVERAGE(D143,D124,D105,D86,D75,D58,D38,D15)</f>
        <v>1784.0250000000001</v>
      </c>
      <c r="E147" s="120">
        <v>1868</v>
      </c>
      <c r="F147" s="122">
        <f>SUM(F145:F146)</f>
        <v>12744</v>
      </c>
      <c r="G147" s="121">
        <f>AVERAGE(G145:G146)</f>
        <v>5</v>
      </c>
      <c r="H147" s="122">
        <f>SUM(H145:H146)</f>
        <v>9938.77</v>
      </c>
      <c r="I147" s="123">
        <f>SUM(I145:I146)</f>
        <v>186</v>
      </c>
      <c r="J147" s="122">
        <f>AVERAGE(J145:J146)</f>
        <v>63.314999999999998</v>
      </c>
      <c r="K147"/>
    </row>
    <row r="148" spans="1:11" ht="18.75" x14ac:dyDescent="0.3">
      <c r="A148" s="141" t="s">
        <v>127</v>
      </c>
      <c r="B148" s="56"/>
      <c r="C148" s="4"/>
      <c r="D148" s="14"/>
      <c r="E148" s="14"/>
      <c r="F148" s="41"/>
      <c r="G148" s="14"/>
      <c r="H148" s="41"/>
      <c r="I148" s="46"/>
      <c r="J148" s="41"/>
      <c r="K148"/>
    </row>
    <row r="149" spans="1:11" x14ac:dyDescent="0.25">
      <c r="A149" s="56" t="s">
        <v>276</v>
      </c>
      <c r="B149" s="56" t="s">
        <v>10</v>
      </c>
      <c r="C149" s="4"/>
      <c r="D149" s="24">
        <v>128.8310526315789</v>
      </c>
      <c r="E149" s="14">
        <f>36621</f>
        <v>36621</v>
      </c>
      <c r="F149" s="41">
        <v>1000</v>
      </c>
      <c r="G149" s="14">
        <v>3</v>
      </c>
      <c r="H149" s="41">
        <v>416.98</v>
      </c>
      <c r="I149" s="46">
        <v>4</v>
      </c>
      <c r="J149" s="41">
        <v>104.25</v>
      </c>
      <c r="K149"/>
    </row>
    <row r="150" spans="1:11" x14ac:dyDescent="0.25">
      <c r="A150" s="56" t="s">
        <v>275</v>
      </c>
      <c r="B150" s="56" t="s">
        <v>9</v>
      </c>
      <c r="C150" s="4"/>
      <c r="D150" s="24">
        <v>128.8310526315789</v>
      </c>
      <c r="E150" s="14"/>
      <c r="F150" s="41">
        <v>2540</v>
      </c>
      <c r="G150" s="14">
        <v>3</v>
      </c>
      <c r="H150" s="41">
        <v>1729.23</v>
      </c>
      <c r="I150" s="46">
        <v>39</v>
      </c>
      <c r="J150" s="41">
        <v>44.34</v>
      </c>
      <c r="K150"/>
    </row>
    <row r="151" spans="1:11" ht="18.75" x14ac:dyDescent="0.3">
      <c r="A151" s="87" t="s">
        <v>141</v>
      </c>
      <c r="B151" s="87"/>
      <c r="C151" s="86"/>
      <c r="D151" s="89">
        <v>1888.6500000000005</v>
      </c>
      <c r="E151" s="89">
        <f>AVERAGE(E147,E143,E124,E105,E86,E75,E58,E38,E15)</f>
        <v>1238.8888888888889</v>
      </c>
      <c r="F151" s="124">
        <f>SUM(F149:F150)</f>
        <v>3540</v>
      </c>
      <c r="G151" s="88">
        <f>AVERAGE(G149:G150)</f>
        <v>3</v>
      </c>
      <c r="H151" s="124">
        <f>SUM(H149:H150)</f>
        <v>2146.21</v>
      </c>
      <c r="I151" s="92">
        <f>SUM(I149:I150)</f>
        <v>43</v>
      </c>
      <c r="J151" s="124">
        <f>AVERAGE(J149:J150)</f>
        <v>74.295000000000002</v>
      </c>
      <c r="K151"/>
    </row>
    <row r="152" spans="1:11" ht="18.75" x14ac:dyDescent="0.3">
      <c r="A152" s="142" t="s">
        <v>134</v>
      </c>
      <c r="B152" s="58"/>
      <c r="C152" s="5"/>
      <c r="D152" s="5"/>
      <c r="E152" s="5"/>
      <c r="F152" s="39"/>
      <c r="G152" s="16"/>
      <c r="H152" s="39"/>
      <c r="I152" s="15"/>
      <c r="J152" s="39"/>
      <c r="K152"/>
    </row>
    <row r="153" spans="1:11" x14ac:dyDescent="0.25">
      <c r="A153" s="58"/>
      <c r="B153" s="58" t="s">
        <v>139</v>
      </c>
      <c r="C153" s="5"/>
      <c r="D153" s="5"/>
      <c r="E153" s="5"/>
      <c r="F153" s="39">
        <v>5000</v>
      </c>
      <c r="G153" s="16"/>
      <c r="H153" s="39"/>
      <c r="I153" s="15"/>
      <c r="J153" s="39"/>
      <c r="K153"/>
    </row>
    <row r="154" spans="1:11" x14ac:dyDescent="0.25">
      <c r="A154" s="58"/>
      <c r="B154" s="58" t="s">
        <v>138</v>
      </c>
      <c r="C154" s="5"/>
      <c r="D154" s="5"/>
      <c r="E154" s="5"/>
      <c r="F154" s="39">
        <v>14100</v>
      </c>
      <c r="G154" s="16"/>
      <c r="H154" s="39">
        <v>15550.84</v>
      </c>
      <c r="I154" s="15">
        <v>264</v>
      </c>
      <c r="J154" s="39">
        <v>58.9</v>
      </c>
      <c r="K154"/>
    </row>
    <row r="155" spans="1:11" x14ac:dyDescent="0.25">
      <c r="A155" s="58"/>
      <c r="B155" s="58" t="s">
        <v>137</v>
      </c>
      <c r="C155" s="5"/>
      <c r="D155" s="5"/>
      <c r="E155" s="5"/>
      <c r="F155" s="39">
        <v>14100</v>
      </c>
      <c r="G155" s="16"/>
      <c r="H155" s="39"/>
      <c r="I155" s="15"/>
      <c r="J155" s="39"/>
      <c r="K155"/>
    </row>
    <row r="156" spans="1:11" x14ac:dyDescent="0.25">
      <c r="A156" s="58"/>
      <c r="B156" s="58" t="s">
        <v>136</v>
      </c>
      <c r="C156" s="5"/>
      <c r="D156" s="5"/>
      <c r="E156" s="5"/>
      <c r="F156" s="39">
        <v>4000</v>
      </c>
      <c r="G156" s="16">
        <v>7</v>
      </c>
      <c r="H156" s="39">
        <v>3145.36</v>
      </c>
      <c r="I156" s="15">
        <v>243</v>
      </c>
      <c r="J156" s="39">
        <v>12.94</v>
      </c>
      <c r="K156"/>
    </row>
    <row r="157" spans="1:11" x14ac:dyDescent="0.25">
      <c r="A157" s="58"/>
      <c r="B157" s="58" t="s">
        <v>147</v>
      </c>
      <c r="C157" s="5"/>
      <c r="D157" s="5"/>
      <c r="E157" s="5"/>
      <c r="F157" s="39">
        <v>250</v>
      </c>
      <c r="G157" s="16"/>
      <c r="H157" s="39">
        <v>163.08000000000001</v>
      </c>
      <c r="I157" s="15">
        <v>12</v>
      </c>
      <c r="J157" s="39">
        <v>13.59</v>
      </c>
      <c r="K157"/>
    </row>
    <row r="158" spans="1:11" ht="12" customHeight="1" x14ac:dyDescent="0.25">
      <c r="A158" s="58"/>
      <c r="B158" s="58" t="s">
        <v>135</v>
      </c>
      <c r="C158" s="5"/>
      <c r="D158" s="5"/>
      <c r="E158" s="5"/>
      <c r="F158" s="39">
        <v>4000</v>
      </c>
      <c r="G158" s="16"/>
      <c r="H158" s="39"/>
      <c r="I158" s="15"/>
      <c r="J158" s="39"/>
      <c r="K158"/>
    </row>
    <row r="159" spans="1:11" x14ac:dyDescent="0.25">
      <c r="A159" s="58"/>
      <c r="B159" s="58" t="s">
        <v>133</v>
      </c>
      <c r="C159" s="5"/>
      <c r="D159" s="5"/>
      <c r="E159" s="5"/>
      <c r="F159" s="39">
        <v>15000</v>
      </c>
      <c r="G159" s="16">
        <v>10</v>
      </c>
      <c r="H159" s="39">
        <v>24002.32</v>
      </c>
      <c r="I159" s="15">
        <v>134</v>
      </c>
      <c r="J159" s="39">
        <v>179.12</v>
      </c>
    </row>
    <row r="160" spans="1:11" x14ac:dyDescent="0.25">
      <c r="A160" s="58"/>
      <c r="B160" s="58" t="s">
        <v>9</v>
      </c>
      <c r="C160" s="5"/>
      <c r="D160" s="5"/>
      <c r="E160" s="5"/>
      <c r="F160" s="39">
        <v>3392</v>
      </c>
      <c r="G160" s="16">
        <v>7</v>
      </c>
      <c r="H160" s="39">
        <v>3707.06</v>
      </c>
      <c r="I160" s="15">
        <v>111</v>
      </c>
      <c r="J160" s="39">
        <v>33.4</v>
      </c>
      <c r="K160"/>
    </row>
    <row r="161" spans="1:11" ht="18.75" x14ac:dyDescent="0.3">
      <c r="A161" s="80" t="s">
        <v>142</v>
      </c>
      <c r="B161" s="80"/>
      <c r="C161" s="79"/>
      <c r="D161" s="125">
        <v>1888.65</v>
      </c>
      <c r="E161" s="125">
        <v>619.44444444444446</v>
      </c>
      <c r="F161" s="126">
        <f>SUM(F153:F160)</f>
        <v>59842</v>
      </c>
      <c r="G161" s="83">
        <f>AVERAGE(G153:G160)</f>
        <v>8</v>
      </c>
      <c r="H161" s="126">
        <f>SUM(H153:H160)</f>
        <v>46568.66</v>
      </c>
      <c r="I161" s="81">
        <f>SUM(I153:I160)</f>
        <v>764</v>
      </c>
      <c r="J161" s="126">
        <f>AVERAGE(J153:J160)</f>
        <v>59.589999999999996</v>
      </c>
      <c r="K161"/>
    </row>
    <row r="162" spans="1:11" ht="18.75" x14ac:dyDescent="0.3">
      <c r="A162" s="53" t="s">
        <v>131</v>
      </c>
      <c r="B162" s="53"/>
      <c r="C162" s="43">
        <f>SUM(C143+C124+C105+C86+C75+C58+C38+C15)</f>
        <v>7040</v>
      </c>
      <c r="D162" s="43">
        <f>SUM(D124,D143,D105,D86,D75,D58,D38,D15)</f>
        <v>14272.2</v>
      </c>
      <c r="E162" s="43">
        <f>SUM(E147,E143,E124,E105,E86,E75,E58,E38,E15)</f>
        <v>11150</v>
      </c>
      <c r="F162" s="44">
        <f>SUM(F147,F151,F161,F143,F124,F105,F86,F75,F58,F38,F15)</f>
        <v>359185.83333333337</v>
      </c>
      <c r="G162" s="155">
        <f>SUM(G153:G160)+SUM(G149:G150)+SUM(G145:G146)+SUM(G126:G142)+SUM(G107:G123)+SUM(G88:G104)+SUM(G77:G85)+SUM(G60:G74)+SUM(G40:G57)+SUM(G17:G37)+SUM(G5:G14)</f>
        <v>694</v>
      </c>
      <c r="H162" s="44">
        <f>SUM(H161,H151,H147,H143,H124,H105,H86,H75,H58,H38,H15)</f>
        <v>285277.04346428573</v>
      </c>
      <c r="I162" s="52">
        <f>SUM(I161,I151,I147,I143,I124,I105,I86,I75,I58,I38,I15)</f>
        <v>3364</v>
      </c>
      <c r="J162" s="44">
        <f>H162/I162</f>
        <v>84.802926118990996</v>
      </c>
      <c r="K162"/>
    </row>
    <row r="165" spans="1:11" x14ac:dyDescent="0.25">
      <c r="A165" s="63" t="s">
        <v>5</v>
      </c>
      <c r="B165" t="s">
        <v>8</v>
      </c>
      <c r="C165" t="s">
        <v>13</v>
      </c>
      <c r="D165" t="s">
        <v>152</v>
      </c>
      <c r="E165" t="s">
        <v>156</v>
      </c>
      <c r="F165" t="s">
        <v>151</v>
      </c>
      <c r="G165" s="38" t="s">
        <v>304</v>
      </c>
      <c r="H165" s="38" t="s">
        <v>132</v>
      </c>
      <c r="I165" s="38" t="s">
        <v>154</v>
      </c>
      <c r="J165" s="38" t="s">
        <v>155</v>
      </c>
      <c r="K165"/>
    </row>
    <row r="166" spans="1:11" x14ac:dyDescent="0.25">
      <c r="A166" s="63" t="s">
        <v>2</v>
      </c>
      <c r="B166"/>
      <c r="G166" s="38"/>
      <c r="I166" s="65"/>
      <c r="J166" s="38"/>
      <c r="K166"/>
    </row>
    <row r="167" spans="1:11" x14ac:dyDescent="0.25">
      <c r="B167" t="s">
        <v>23</v>
      </c>
      <c r="C167" s="64">
        <f>D5/$D$162*60</f>
        <v>0.67347710934544081</v>
      </c>
      <c r="D167" s="64">
        <f>E5/$E$162*10</f>
        <v>1.2233183856502241</v>
      </c>
      <c r="E167" s="64">
        <f>F5/$F$162*120</f>
        <v>0.56795113021810895</v>
      </c>
      <c r="F167" s="74">
        <f>G5/$G$162*120</f>
        <v>0.69164265129682989</v>
      </c>
      <c r="G167" s="64">
        <f t="shared" ref="G167:G176" si="7">H5/$H$162*120</f>
        <v>0.69536615211323338</v>
      </c>
      <c r="H167" s="64">
        <f t="shared" ref="H167:H176" si="8">J5/$J$162</f>
        <v>0.77969007705257609</v>
      </c>
      <c r="I167" s="65">
        <f>SUM(Table26[[#This Row],[Adjusted FLE]:[Cost/Item]])</f>
        <v>4.631445505676413</v>
      </c>
      <c r="J167" s="127">
        <f>Table26[[#This Row],[Coefficient]]/$I$328*$H$2</f>
        <v>1309.9031014874208</v>
      </c>
      <c r="K167"/>
    </row>
    <row r="168" spans="1:11" x14ac:dyDescent="0.25">
      <c r="B168" t="s">
        <v>144</v>
      </c>
      <c r="C168" s="64">
        <f t="shared" ref="C168:C231" si="9">D6/$D$162*60</f>
        <v>3.5111615588346576</v>
      </c>
      <c r="D168" s="64">
        <f t="shared" ref="D168:D231" si="10">E6/$E$162*10</f>
        <v>1.2233183856502241</v>
      </c>
      <c r="E168" s="64">
        <f t="shared" ref="E168:E231" si="11">F6/$F$162*120</f>
        <v>0.1670444500641497</v>
      </c>
      <c r="F168" s="74">
        <f t="shared" ref="F168:F231" si="12">G6/$G$162*120</f>
        <v>0.86455331412103742</v>
      </c>
      <c r="G168" s="64">
        <f t="shared" si="7"/>
        <v>0.20333917968152984</v>
      </c>
      <c r="H168" s="64">
        <f t="shared" si="8"/>
        <v>0.95004583395648123</v>
      </c>
      <c r="I168" s="65">
        <f>SUM(Table26[[#This Row],[Adjusted FLE]:[Cost/Item]])</f>
        <v>6.9194627223080802</v>
      </c>
      <c r="J168" s="127">
        <f>Table26[[#This Row],[Coefficient]]/$I$328*$H$2</f>
        <v>1957.0187470562048</v>
      </c>
      <c r="K168"/>
    </row>
    <row r="169" spans="1:11" x14ac:dyDescent="0.25">
      <c r="B169" t="s">
        <v>145</v>
      </c>
      <c r="C169" s="64">
        <f t="shared" si="9"/>
        <v>1.6818009837306094</v>
      </c>
      <c r="D169" s="64">
        <f t="shared" si="10"/>
        <v>1.2233183856502241</v>
      </c>
      <c r="E169" s="64">
        <f t="shared" si="11"/>
        <v>1.2027200404618776</v>
      </c>
      <c r="F169" s="74">
        <f t="shared" si="12"/>
        <v>0.86455331412103742</v>
      </c>
      <c r="G169" s="64">
        <f t="shared" si="7"/>
        <v>1.4843591859259184</v>
      </c>
      <c r="H169" s="64">
        <f t="shared" si="8"/>
        <v>0.52675069180185374</v>
      </c>
      <c r="I169" s="65">
        <f>SUM(Table26[[#This Row],[Adjusted FLE]:[Cost/Item]])</f>
        <v>6.9835026016915211</v>
      </c>
      <c r="J169" s="127">
        <f>Table26[[#This Row],[Coefficient]]/$I$328*$H$2</f>
        <v>1975.1310268013594</v>
      </c>
      <c r="K169"/>
    </row>
    <row r="170" spans="1:11" x14ac:dyDescent="0.25">
      <c r="B170" t="s">
        <v>143</v>
      </c>
      <c r="C170" s="64">
        <f t="shared" si="9"/>
        <v>1.6818009837306094</v>
      </c>
      <c r="D170" s="64">
        <f t="shared" si="10"/>
        <v>1.2233183856502241</v>
      </c>
      <c r="E170" s="64">
        <f t="shared" si="11"/>
        <v>1.8374889507056464</v>
      </c>
      <c r="F170" s="74">
        <f t="shared" si="12"/>
        <v>1.7291066282420748</v>
      </c>
      <c r="G170" s="64">
        <f t="shared" si="7"/>
        <v>2.2933958935322005</v>
      </c>
      <c r="H170" s="64">
        <f t="shared" si="8"/>
        <v>1.2363960160157681</v>
      </c>
      <c r="I170" s="65">
        <f>SUM(Table26[[#This Row],[Adjusted FLE]:[Cost/Item]])</f>
        <v>10.001506857876523</v>
      </c>
      <c r="J170" s="127">
        <f>Table26[[#This Row],[Coefficient]]/$I$328*$H$2</f>
        <v>2828.7075464071099</v>
      </c>
      <c r="K170"/>
    </row>
    <row r="171" spans="1:11" x14ac:dyDescent="0.25">
      <c r="B171" t="s">
        <v>146</v>
      </c>
      <c r="C171" s="64">
        <f t="shared" si="9"/>
        <v>1.6818009837306094</v>
      </c>
      <c r="D171" s="64">
        <f t="shared" si="10"/>
        <v>1.2233183856502241</v>
      </c>
      <c r="E171" s="64">
        <f t="shared" si="11"/>
        <v>2.238395630859606</v>
      </c>
      <c r="F171" s="74">
        <f t="shared" si="12"/>
        <v>0.69164265129682989</v>
      </c>
      <c r="G171" s="64">
        <f t="shared" si="7"/>
        <v>2.7143340753843046</v>
      </c>
      <c r="H171" s="64">
        <f t="shared" si="8"/>
        <v>0.76860555387608753</v>
      </c>
      <c r="I171" s="65">
        <f>SUM(Table26[[#This Row],[Adjusted FLE]:[Cost/Item]])</f>
        <v>9.3180972807976605</v>
      </c>
      <c r="J171" s="127">
        <f>Table26[[#This Row],[Coefficient]]/$I$328*$H$2</f>
        <v>2635.4200892828435</v>
      </c>
      <c r="K171"/>
    </row>
    <row r="172" spans="1:11" x14ac:dyDescent="0.25">
      <c r="B172" t="s">
        <v>21</v>
      </c>
      <c r="C172" s="64">
        <f t="shared" si="9"/>
        <v>1.6818009837306094</v>
      </c>
      <c r="D172" s="64">
        <f t="shared" si="10"/>
        <v>1.2233183856502241</v>
      </c>
      <c r="E172" s="64">
        <f t="shared" si="11"/>
        <v>1.637035610628667</v>
      </c>
      <c r="F172" s="74">
        <f t="shared" si="12"/>
        <v>0.86455331412103742</v>
      </c>
      <c r="G172" s="64">
        <f t="shared" si="7"/>
        <v>2.0171886002879247</v>
      </c>
      <c r="H172" s="64">
        <f t="shared" si="8"/>
        <v>0.85681005745069827</v>
      </c>
      <c r="I172" s="65">
        <f>SUM(Table26[[#This Row],[Adjusted FLE]:[Cost/Item]])</f>
        <v>8.2807069518691598</v>
      </c>
      <c r="J172" s="127">
        <f>Table26[[#This Row],[Coefficient]]/$I$328*$H$2</f>
        <v>2342.0169157701635</v>
      </c>
      <c r="K172"/>
    </row>
    <row r="173" spans="1:11" x14ac:dyDescent="0.25">
      <c r="B173" t="s">
        <v>20</v>
      </c>
      <c r="C173" s="64">
        <f t="shared" si="9"/>
        <v>0.86265607264472199</v>
      </c>
      <c r="D173" s="64">
        <f t="shared" si="10"/>
        <v>1.2233183856502241</v>
      </c>
      <c r="E173" s="64">
        <f t="shared" si="11"/>
        <v>1.603626720615837</v>
      </c>
      <c r="F173" s="74">
        <f t="shared" si="12"/>
        <v>0.34582132564841495</v>
      </c>
      <c r="G173" s="64">
        <f t="shared" si="7"/>
        <v>2.0042033283045386</v>
      </c>
      <c r="H173" s="64">
        <f t="shared" si="8"/>
        <v>0.79133098549489067</v>
      </c>
      <c r="I173" s="65">
        <f>SUM(Table26[[#This Row],[Adjusted FLE]:[Cost/Item]])</f>
        <v>6.8309568183586276</v>
      </c>
      <c r="J173" s="127">
        <f>Table26[[#This Row],[Coefficient]]/$I$328*$H$2</f>
        <v>1931.9867871764559</v>
      </c>
      <c r="K173"/>
    </row>
    <row r="174" spans="1:11" x14ac:dyDescent="0.25">
      <c r="B174" t="s">
        <v>22</v>
      </c>
      <c r="C174" s="64">
        <f t="shared" si="9"/>
        <v>1.6799091940976163</v>
      </c>
      <c r="D174" s="64">
        <f t="shared" si="10"/>
        <v>1.2233183856502241</v>
      </c>
      <c r="E174" s="64">
        <f t="shared" si="11"/>
        <v>1.3220375047934134</v>
      </c>
      <c r="F174" s="74">
        <f t="shared" si="12"/>
        <v>0.86455331412103742</v>
      </c>
      <c r="G174" s="64">
        <f t="shared" si="7"/>
        <v>1.6303123450328072</v>
      </c>
      <c r="H174" s="64">
        <f t="shared" si="8"/>
        <v>0.86754271689280926</v>
      </c>
      <c r="I174" s="65">
        <f>SUM(Table26[[#This Row],[Adjusted FLE]:[Cost/Item]])</f>
        <v>7.587673460587907</v>
      </c>
      <c r="J174" s="127">
        <f>Table26[[#This Row],[Coefficient]]/$I$328*$H$2</f>
        <v>2146.0075449265814</v>
      </c>
      <c r="K174"/>
    </row>
    <row r="175" spans="1:11" x14ac:dyDescent="0.25">
      <c r="B175" t="s">
        <v>10</v>
      </c>
      <c r="C175" s="64">
        <f t="shared" si="9"/>
        <v>1.6815907848824987</v>
      </c>
      <c r="D175" s="64">
        <f>E13/$E$162/60</f>
        <v>5.4739910313901345E-2</v>
      </c>
      <c r="E175" s="64">
        <f t="shared" si="11"/>
        <v>5.3454224020527903</v>
      </c>
      <c r="F175" s="74">
        <f t="shared" si="12"/>
        <v>0.51873198847262247</v>
      </c>
      <c r="G175" s="64">
        <f t="shared" si="7"/>
        <v>3.7306808394950242</v>
      </c>
      <c r="H175" s="64">
        <f t="shared" si="8"/>
        <v>1.1245528982133748</v>
      </c>
      <c r="I175" s="65">
        <f>SUM(Table26[[#This Row],[Adjusted FLE]:[Cost/Item]])</f>
        <v>12.455718823430212</v>
      </c>
      <c r="J175" s="127">
        <f>Table26[[#This Row],[Coefficient]]/$I$328*$H$2</f>
        <v>3522.8277431029805</v>
      </c>
      <c r="K175"/>
    </row>
    <row r="176" spans="1:11" x14ac:dyDescent="0.25">
      <c r="B176" t="s">
        <v>9</v>
      </c>
      <c r="C176" s="64">
        <f t="shared" si="9"/>
        <v>1.6815907848824987</v>
      </c>
      <c r="D176" s="64">
        <f t="shared" si="10"/>
        <v>1.2233183856502241</v>
      </c>
      <c r="E176" s="64">
        <f t="shared" si="11"/>
        <v>3.9155219095036689</v>
      </c>
      <c r="F176" s="74">
        <f t="shared" si="12"/>
        <v>0.86455331412103742</v>
      </c>
      <c r="G176" s="64">
        <f t="shared" si="7"/>
        <v>3.4775206162854007</v>
      </c>
      <c r="H176" s="64">
        <f t="shared" si="8"/>
        <v>0.77370233817355083</v>
      </c>
      <c r="I176" s="65">
        <f>SUM(Table26[[#This Row],[Adjusted FLE]:[Cost/Item]])</f>
        <v>11.936207348616382</v>
      </c>
      <c r="J176" s="127">
        <f>Table26[[#This Row],[Coefficient]]/$I$328*$H$2</f>
        <v>3375.8952808116956</v>
      </c>
      <c r="K176"/>
    </row>
    <row r="177" spans="1:11" x14ac:dyDescent="0.25">
      <c r="A177" s="63" t="s">
        <v>153</v>
      </c>
      <c r="B177"/>
      <c r="C177" s="64"/>
      <c r="D177" s="64"/>
      <c r="E177" s="64"/>
      <c r="F177" s="74"/>
      <c r="G177" s="64"/>
      <c r="H177" s="64"/>
      <c r="I177" s="65"/>
      <c r="J177" s="127">
        <f>SUBTOTAL(109,J166:J176)</f>
        <v>24024.914782822816</v>
      </c>
      <c r="K177"/>
    </row>
    <row r="178" spans="1:11" x14ac:dyDescent="0.25">
      <c r="A178" s="63" t="s">
        <v>1</v>
      </c>
      <c r="B178"/>
      <c r="C178" s="64"/>
      <c r="D178" s="64"/>
      <c r="E178" s="64"/>
      <c r="F178" s="74"/>
      <c r="G178" s="64"/>
      <c r="H178" s="64"/>
      <c r="I178" s="65"/>
      <c r="J178" s="127"/>
      <c r="K178"/>
    </row>
    <row r="179" spans="1:11" x14ac:dyDescent="0.25">
      <c r="B179" t="s">
        <v>24</v>
      </c>
      <c r="C179" s="64">
        <f t="shared" si="9"/>
        <v>0.49943246311010209</v>
      </c>
      <c r="D179" s="64">
        <f t="shared" si="10"/>
        <v>1.4869955156950674</v>
      </c>
      <c r="E179" s="64">
        <f t="shared" si="11"/>
        <v>0.26727112010263948</v>
      </c>
      <c r="F179" s="74">
        <f t="shared" si="12"/>
        <v>1.0374639769452449</v>
      </c>
      <c r="G179" s="64">
        <f t="shared" ref="G179:G199" si="13">H17/$H$162*120</f>
        <v>0.32934300937454242</v>
      </c>
      <c r="H179" s="64">
        <f t="shared" ref="H179:H185" si="14">J17/$J$162</f>
        <v>1.1540875354073747</v>
      </c>
      <c r="I179" s="73">
        <f>SUM(Table26[[#This Row],[Adjusted FLE]:[Cost/Item]])</f>
        <v>4.7745936206349713</v>
      </c>
      <c r="J179" s="128">
        <f>Table26[[#This Row],[Coefficient]]/$I$328*$H$2</f>
        <v>1350.38941607894</v>
      </c>
      <c r="K179"/>
    </row>
    <row r="180" spans="1:11" x14ac:dyDescent="0.25">
      <c r="B180" t="s">
        <v>25</v>
      </c>
      <c r="C180" s="64">
        <f t="shared" si="9"/>
        <v>1.1729095724555429</v>
      </c>
      <c r="D180" s="64">
        <f t="shared" si="10"/>
        <v>1.4869955156950674</v>
      </c>
      <c r="E180" s="64">
        <f t="shared" si="11"/>
        <v>0.56795113021810895</v>
      </c>
      <c r="F180" s="74">
        <f t="shared" si="12"/>
        <v>1.5561959654178674</v>
      </c>
      <c r="G180" s="64">
        <f t="shared" si="13"/>
        <v>0.69107558605458308</v>
      </c>
      <c r="H180" s="64">
        <f t="shared" si="14"/>
        <v>1.0196582117776203</v>
      </c>
      <c r="I180" s="73">
        <f>SUM(Table26[[#This Row],[Adjusted FLE]:[Cost/Item]])</f>
        <v>6.4947859816187901</v>
      </c>
      <c r="J180" s="128">
        <f>Table26[[#This Row],[Coefficient]]/$I$328*$H$2</f>
        <v>1836.9082158890621</v>
      </c>
      <c r="K180"/>
    </row>
    <row r="181" spans="1:11" x14ac:dyDescent="0.25">
      <c r="B181" t="s">
        <v>128</v>
      </c>
      <c r="C181" s="64">
        <f t="shared" si="9"/>
        <v>0.48429814604615962</v>
      </c>
      <c r="D181" s="64">
        <f t="shared" si="10"/>
        <v>1.4869955156950674</v>
      </c>
      <c r="E181" s="64">
        <f t="shared" si="11"/>
        <v>0.33631615946248805</v>
      </c>
      <c r="F181" s="74">
        <f t="shared" si="12"/>
        <v>1.2103746397694524</v>
      </c>
      <c r="G181" s="64">
        <f t="shared" si="13"/>
        <v>0.40927583440346826</v>
      </c>
      <c r="H181" s="64">
        <f t="shared" si="14"/>
        <v>0.76898289934592545</v>
      </c>
      <c r="I181" s="73">
        <f>SUM(Table26[[#This Row],[Adjusted FLE]:[Cost/Item]])</f>
        <v>4.6962431947225607</v>
      </c>
      <c r="J181" s="128">
        <f>Table26[[#This Row],[Coefficient]]/$I$328*$H$2</f>
        <v>1328.2297111272699</v>
      </c>
      <c r="K181"/>
    </row>
    <row r="182" spans="1:11" x14ac:dyDescent="0.25">
      <c r="B182" t="s">
        <v>26</v>
      </c>
      <c r="C182" s="64">
        <f t="shared" si="9"/>
        <v>0.70374574347332575</v>
      </c>
      <c r="D182" s="64">
        <f t="shared" si="10"/>
        <v>1.4869955156950674</v>
      </c>
      <c r="E182" s="64">
        <f t="shared" si="11"/>
        <v>0.50113335019244898</v>
      </c>
      <c r="F182" s="74">
        <f t="shared" si="12"/>
        <v>1.3832853025936598</v>
      </c>
      <c r="G182" s="64">
        <f t="shared" si="13"/>
        <v>0.61077890419813441</v>
      </c>
      <c r="H182" s="64">
        <f t="shared" si="14"/>
        <v>1.2229530836527926</v>
      </c>
      <c r="I182" s="73">
        <f>SUM(Table26[[#This Row],[Adjusted FLE]:[Cost/Item]])</f>
        <v>5.9088918998054298</v>
      </c>
      <c r="J182" s="128">
        <f>Table26[[#This Row],[Coefficient]]/$I$328*$H$2</f>
        <v>1671.2008845667306</v>
      </c>
      <c r="K182"/>
    </row>
    <row r="183" spans="1:11" x14ac:dyDescent="0.25">
      <c r="B183" t="s">
        <v>129</v>
      </c>
      <c r="C183" s="64">
        <f t="shared" si="9"/>
        <v>0.68861142640938333</v>
      </c>
      <c r="D183" s="64">
        <f t="shared" si="10"/>
        <v>1.4869955156950674</v>
      </c>
      <c r="E183" s="64">
        <f t="shared" si="11"/>
        <v>0.1670444500641497</v>
      </c>
      <c r="F183" s="74">
        <f t="shared" si="12"/>
        <v>1.3832853025936598</v>
      </c>
      <c r="G183" s="64">
        <f t="shared" si="13"/>
        <v>0.40927583440346826</v>
      </c>
      <c r="H183" s="64">
        <f t="shared" si="14"/>
        <v>0.76898289934592545</v>
      </c>
      <c r="I183" s="73">
        <f>SUM(Table26[[#This Row],[Adjusted FLE]:[Cost/Item]])</f>
        <v>4.9041954285116534</v>
      </c>
      <c r="J183" s="128">
        <f>Table26[[#This Row],[Coefficient]]/$I$328*$H$2</f>
        <v>1387.0444538825745</v>
      </c>
      <c r="K183"/>
    </row>
    <row r="184" spans="1:11" x14ac:dyDescent="0.25">
      <c r="B184" t="s">
        <v>27</v>
      </c>
      <c r="C184" s="64">
        <f t="shared" si="9"/>
        <v>0.24214907302307981</v>
      </c>
      <c r="D184" s="64">
        <f t="shared" si="10"/>
        <v>1.4869955156950674</v>
      </c>
      <c r="E184" s="64">
        <f t="shared" si="11"/>
        <v>0.43431557016678918</v>
      </c>
      <c r="F184" s="74">
        <f t="shared" si="12"/>
        <v>1.3832853025936598</v>
      </c>
      <c r="G184" s="64">
        <f t="shared" si="13"/>
        <v>0.5126216895132254</v>
      </c>
      <c r="H184" s="64">
        <f t="shared" si="14"/>
        <v>1.0264975984184321</v>
      </c>
      <c r="I184" s="73">
        <f>SUM(Table26[[#This Row],[Adjusted FLE]:[Cost/Item]])</f>
        <v>5.0858647494102538</v>
      </c>
      <c r="J184" s="128">
        <f>Table26[[#This Row],[Coefficient]]/$I$328*$H$2</f>
        <v>1438.4256493643156</v>
      </c>
      <c r="K184"/>
    </row>
    <row r="185" spans="1:11" x14ac:dyDescent="0.25">
      <c r="B185" t="s">
        <v>130</v>
      </c>
      <c r="C185" s="64">
        <f t="shared" si="9"/>
        <v>0.48429814604615962</v>
      </c>
      <c r="D185" s="64">
        <f t="shared" si="10"/>
        <v>1.4869955156950674</v>
      </c>
      <c r="E185" s="64">
        <f t="shared" si="11"/>
        <v>0.60136002023093882</v>
      </c>
      <c r="F185" s="74">
        <f t="shared" si="12"/>
        <v>1.3832853025936598</v>
      </c>
      <c r="G185" s="64">
        <f t="shared" si="13"/>
        <v>0.73935286708902481</v>
      </c>
      <c r="H185" s="64">
        <f t="shared" si="14"/>
        <v>0.86364944409151034</v>
      </c>
      <c r="I185" s="73">
        <f>SUM(Table26[[#This Row],[Adjusted FLE]:[Cost/Item]])</f>
        <v>5.5589412957463615</v>
      </c>
      <c r="J185" s="128">
        <f>Table26[[#This Row],[Coefficient]]/$I$328*$H$2</f>
        <v>1572.2250073675837</v>
      </c>
      <c r="K185"/>
    </row>
    <row r="186" spans="1:11" x14ac:dyDescent="0.25">
      <c r="B186" t="s">
        <v>28</v>
      </c>
      <c r="C186" s="64">
        <f t="shared" si="9"/>
        <v>0.81725312145289442</v>
      </c>
      <c r="D186" s="64">
        <f t="shared" si="10"/>
        <v>1.4869955156950674</v>
      </c>
      <c r="E186" s="64">
        <f t="shared" si="11"/>
        <v>8.3522225032074848E-2</v>
      </c>
      <c r="F186" s="74">
        <f t="shared" si="12"/>
        <v>0.86455331412103742</v>
      </c>
      <c r="G186" s="64">
        <f t="shared" si="13"/>
        <v>7.529522789200215E-3</v>
      </c>
      <c r="H186" s="64">
        <f t="shared" ref="H186:H199" si="15">J24/$J$162</f>
        <v>0.21107762219057941</v>
      </c>
      <c r="I186" s="73">
        <f>SUM(Table26[[#This Row],[Adjusted FLE]:[Cost/Item]])</f>
        <v>3.4709313212808537</v>
      </c>
      <c r="J186" s="128">
        <f>Table26[[#This Row],[Coefficient]]/$I$328*$H$2</f>
        <v>981.6770373791976</v>
      </c>
      <c r="K186"/>
    </row>
    <row r="187" spans="1:11" x14ac:dyDescent="0.25">
      <c r="B187" t="s">
        <v>29</v>
      </c>
      <c r="C187" s="64">
        <f t="shared" si="9"/>
        <v>1.2561483163072267</v>
      </c>
      <c r="D187" s="64">
        <f t="shared" si="10"/>
        <v>1.4869955156950674</v>
      </c>
      <c r="E187" s="64">
        <f t="shared" si="11"/>
        <v>0.56795113021810895</v>
      </c>
      <c r="F187" s="74">
        <f t="shared" si="12"/>
        <v>0.51873198847262247</v>
      </c>
      <c r="G187" s="64">
        <f t="shared" si="13"/>
        <v>0.6850687935724723</v>
      </c>
      <c r="H187" s="64">
        <f t="shared" si="15"/>
        <v>1.0669443159666829</v>
      </c>
      <c r="I187" s="73">
        <f>SUM(Table26[[#This Row],[Adjusted FLE]:[Cost/Item]])</f>
        <v>5.5818400602321798</v>
      </c>
      <c r="J187" s="128">
        <f>Table26[[#This Row],[Coefficient]]/$I$328*$H$2</f>
        <v>1578.7014222543485</v>
      </c>
      <c r="K187"/>
    </row>
    <row r="188" spans="1:11" x14ac:dyDescent="0.25">
      <c r="B188" t="s">
        <v>30</v>
      </c>
      <c r="C188" s="64">
        <f t="shared" si="9"/>
        <v>0.68104426787741201</v>
      </c>
      <c r="D188" s="64">
        <f t="shared" si="10"/>
        <v>1.4869955156950674</v>
      </c>
      <c r="E188" s="64">
        <f t="shared" si="11"/>
        <v>0.1670444500641497</v>
      </c>
      <c r="F188" s="74">
        <f t="shared" si="12"/>
        <v>0.86455331412103742</v>
      </c>
      <c r="G188" s="64">
        <f t="shared" si="13"/>
        <v>0.13283508388835399</v>
      </c>
      <c r="H188" s="64">
        <f t="shared" si="15"/>
        <v>0.62061537742403328</v>
      </c>
      <c r="I188" s="73">
        <f>SUM(Table26[[#This Row],[Adjusted FLE]:[Cost/Item]])</f>
        <v>3.9530880090700538</v>
      </c>
      <c r="J188" s="128">
        <f>Table26[[#This Row],[Coefficient]]/$I$328*$H$2</f>
        <v>1118.0445148684387</v>
      </c>
      <c r="K188"/>
    </row>
    <row r="189" spans="1:11" x14ac:dyDescent="0.25">
      <c r="B189" t="s">
        <v>31</v>
      </c>
      <c r="C189" s="64">
        <f t="shared" si="9"/>
        <v>0.26485054861899354</v>
      </c>
      <c r="D189" s="64">
        <f t="shared" si="10"/>
        <v>1.4869955156950674</v>
      </c>
      <c r="E189" s="64">
        <f t="shared" si="11"/>
        <v>0.26727112010263948</v>
      </c>
      <c r="F189" s="74">
        <f t="shared" si="12"/>
        <v>0.51873198847262247</v>
      </c>
      <c r="G189" s="64">
        <f t="shared" si="13"/>
        <v>0.31087674957309602</v>
      </c>
      <c r="H189" s="64">
        <f t="shared" si="15"/>
        <v>0.5126002366829322</v>
      </c>
      <c r="I189" s="73">
        <f>SUM(Table26[[#This Row],[Adjusted FLE]:[Cost/Item]])</f>
        <v>3.3613261591453512</v>
      </c>
      <c r="J189" s="128">
        <f>Table26[[#This Row],[Coefficient]]/$I$328*$H$2</f>
        <v>950.6776136259956</v>
      </c>
      <c r="K189"/>
    </row>
    <row r="190" spans="1:11" x14ac:dyDescent="0.25">
      <c r="B190" t="s">
        <v>32</v>
      </c>
      <c r="C190" s="64">
        <f t="shared" si="9"/>
        <v>1.0064320847521755</v>
      </c>
      <c r="D190" s="64">
        <f t="shared" si="10"/>
        <v>1.4869955156950674</v>
      </c>
      <c r="E190" s="64">
        <f t="shared" si="11"/>
        <v>0.40090668015395925</v>
      </c>
      <c r="F190" s="74">
        <f t="shared" si="12"/>
        <v>0.51873198847262247</v>
      </c>
      <c r="G190" s="64">
        <f t="shared" si="13"/>
        <v>0.50133161176673746</v>
      </c>
      <c r="H190" s="64">
        <f t="shared" si="15"/>
        <v>0.36979856044114917</v>
      </c>
      <c r="I190" s="73">
        <f>SUM(Table26[[#This Row],[Adjusted FLE]:[Cost/Item]])</f>
        <v>4.2841964412817104</v>
      </c>
      <c r="J190" s="128">
        <f>Table26[[#This Row],[Coefficient]]/$I$328*$H$2</f>
        <v>1211.6912957171196</v>
      </c>
      <c r="K190"/>
    </row>
    <row r="191" spans="1:11" x14ac:dyDescent="0.25">
      <c r="B191" t="s">
        <v>33</v>
      </c>
      <c r="C191" s="64">
        <f t="shared" si="9"/>
        <v>0.45402951191827462</v>
      </c>
      <c r="D191" s="64">
        <f t="shared" si="10"/>
        <v>1.4869955156950674</v>
      </c>
      <c r="E191" s="64">
        <f t="shared" si="11"/>
        <v>0.1670444500641497</v>
      </c>
      <c r="F191" s="74">
        <f t="shared" si="12"/>
        <v>1.3832853025936598</v>
      </c>
      <c r="G191" s="64">
        <f t="shared" si="13"/>
        <v>0.17898811408003262</v>
      </c>
      <c r="H191" s="64">
        <f t="shared" si="15"/>
        <v>0.45611633666657048</v>
      </c>
      <c r="I191" s="73">
        <f>SUM(Table26[[#This Row],[Adjusted FLE]:[Cost/Item]])</f>
        <v>4.1264592310177548</v>
      </c>
      <c r="J191" s="128">
        <f>Table26[[#This Row],[Coefficient]]/$I$328*$H$2</f>
        <v>1167.0787744877346</v>
      </c>
      <c r="K191"/>
    </row>
    <row r="192" spans="1:11" x14ac:dyDescent="0.25">
      <c r="B192" t="s">
        <v>34</v>
      </c>
      <c r="C192" s="64">
        <f t="shared" si="9"/>
        <v>8.32387438516837E-2</v>
      </c>
      <c r="D192" s="64">
        <f t="shared" si="10"/>
        <v>1.4869955156950674</v>
      </c>
      <c r="E192" s="64">
        <f t="shared" si="11"/>
        <v>0.33408890012829939</v>
      </c>
      <c r="F192" s="74">
        <f t="shared" si="12"/>
        <v>0.69164265129682989</v>
      </c>
      <c r="G192" s="64">
        <f t="shared" si="13"/>
        <v>0.40261494091927907</v>
      </c>
      <c r="H192" s="64">
        <f t="shared" si="15"/>
        <v>0.43406521077291782</v>
      </c>
      <c r="I192" s="73">
        <f>SUM(Table26[[#This Row],[Adjusted FLE]:[Cost/Item]])</f>
        <v>3.4326459626640773</v>
      </c>
      <c r="J192" s="128">
        <f>Table26[[#This Row],[Coefficient]]/$I$328*$H$2</f>
        <v>970.84886074790438</v>
      </c>
      <c r="K192"/>
    </row>
    <row r="193" spans="1:11" x14ac:dyDescent="0.25">
      <c r="B193" t="s">
        <v>35</v>
      </c>
      <c r="C193" s="64">
        <f t="shared" si="9"/>
        <v>6.0537268255769952E-2</v>
      </c>
      <c r="D193" s="64">
        <f t="shared" si="10"/>
        <v>1.4869955156950674</v>
      </c>
      <c r="E193" s="64">
        <f t="shared" si="11"/>
        <v>8.3522225032074848E-2</v>
      </c>
      <c r="F193" s="74">
        <f t="shared" si="12"/>
        <v>1.0374639769452449</v>
      </c>
      <c r="G193" s="64">
        <f t="shared" si="13"/>
        <v>8.6938646372731881E-2</v>
      </c>
      <c r="H193" s="64">
        <f t="shared" si="15"/>
        <v>0.48748317884684655</v>
      </c>
      <c r="I193" s="73">
        <f>SUM(Table26[[#This Row],[Adjusted FLE]:[Cost/Item]])</f>
        <v>3.2429408111477356</v>
      </c>
      <c r="J193" s="128">
        <f>Table26[[#This Row],[Coefficient]]/$I$328*$H$2</f>
        <v>917.19490626763798</v>
      </c>
      <c r="K193"/>
    </row>
    <row r="194" spans="1:11" x14ac:dyDescent="0.25">
      <c r="B194" t="s">
        <v>36</v>
      </c>
      <c r="C194" s="64">
        <f t="shared" si="9"/>
        <v>9.8373060915626198E-2</v>
      </c>
      <c r="D194" s="64">
        <f t="shared" si="10"/>
        <v>1.4869955156950674</v>
      </c>
      <c r="E194" s="64">
        <f t="shared" si="11"/>
        <v>0.43431557016678918</v>
      </c>
      <c r="F194" s="74">
        <f t="shared" si="12"/>
        <v>0.86455331412103742</v>
      </c>
      <c r="G194" s="64">
        <f t="shared" si="13"/>
        <v>0.54050616245714067</v>
      </c>
      <c r="H194" s="64">
        <f t="shared" si="15"/>
        <v>1.0101066545723481</v>
      </c>
      <c r="I194" s="73">
        <f>SUM(Table26[[#This Row],[Adjusted FLE]:[Cost/Item]])</f>
        <v>4.4348502779280095</v>
      </c>
      <c r="J194" s="128">
        <f>Table26[[#This Row],[Coefficient]]/$I$328*$H$2</f>
        <v>1254.3004395863713</v>
      </c>
      <c r="K194"/>
    </row>
    <row r="195" spans="1:11" x14ac:dyDescent="0.25">
      <c r="B195" t="s">
        <v>37</v>
      </c>
      <c r="C195" s="64">
        <f t="shared" si="9"/>
        <v>0.1210745365115399</v>
      </c>
      <c r="D195" s="64">
        <f t="shared" si="10"/>
        <v>1.4869955156950674</v>
      </c>
      <c r="E195" s="64">
        <f t="shared" si="11"/>
        <v>0.33631615946248805</v>
      </c>
      <c r="F195" s="74">
        <f t="shared" si="12"/>
        <v>0.86455331412103742</v>
      </c>
      <c r="G195" s="64">
        <f t="shared" si="13"/>
        <v>0.40927583440346826</v>
      </c>
      <c r="H195" s="64">
        <f t="shared" si="15"/>
        <v>0.76898289934592545</v>
      </c>
      <c r="I195" s="73">
        <f>SUM(Table26[[#This Row],[Adjusted FLE]:[Cost/Item]])</f>
        <v>3.9871982595395266</v>
      </c>
      <c r="J195" s="128">
        <f>Table26[[#This Row],[Coefficient]]/$I$328*$H$2</f>
        <v>1127.6918534429103</v>
      </c>
      <c r="K195"/>
    </row>
    <row r="196" spans="1:11" x14ac:dyDescent="0.25">
      <c r="B196" t="s">
        <v>38</v>
      </c>
      <c r="C196" s="64">
        <f t="shared" si="9"/>
        <v>0.1664774877033674</v>
      </c>
      <c r="D196" s="64">
        <f t="shared" si="10"/>
        <v>1.4869955156950674</v>
      </c>
      <c r="E196" s="64">
        <f t="shared" si="11"/>
        <v>0.33631615946248805</v>
      </c>
      <c r="F196" s="74">
        <f t="shared" si="12"/>
        <v>0.86455331412103742</v>
      </c>
      <c r="G196" s="64">
        <f t="shared" si="13"/>
        <v>0.40927583440346826</v>
      </c>
      <c r="H196" s="64">
        <f t="shared" si="15"/>
        <v>0.76898289934592545</v>
      </c>
      <c r="I196" s="73">
        <f>SUM(Table26[[#This Row],[Adjusted FLE]:[Cost/Item]])</f>
        <v>4.0326012107313538</v>
      </c>
      <c r="J196" s="128">
        <f>Table26[[#This Row],[Coefficient]]/$I$328*$H$2</f>
        <v>1140.5330855182883</v>
      </c>
      <c r="K196"/>
    </row>
    <row r="197" spans="1:11" x14ac:dyDescent="0.25">
      <c r="B197" t="s">
        <v>39</v>
      </c>
      <c r="C197" s="64">
        <f t="shared" si="9"/>
        <v>0.17404464623533861</v>
      </c>
      <c r="D197" s="64">
        <f t="shared" si="10"/>
        <v>1.4869955156950674</v>
      </c>
      <c r="E197" s="64">
        <f t="shared" si="11"/>
        <v>0.33631615946248805</v>
      </c>
      <c r="F197" s="74">
        <f t="shared" si="12"/>
        <v>0.69164265129682989</v>
      </c>
      <c r="G197" s="64">
        <f t="shared" si="13"/>
        <v>0.40927583440346826</v>
      </c>
      <c r="H197" s="64">
        <f t="shared" si="15"/>
        <v>0.76898289934592545</v>
      </c>
      <c r="I197" s="73">
        <f>SUM(Table26[[#This Row],[Adjusted FLE]:[Cost/Item]])</f>
        <v>3.8672577064391178</v>
      </c>
      <c r="J197" s="128">
        <f>Table26[[#This Row],[Coefficient]]/$I$328*$H$2</f>
        <v>1093.7692903235163</v>
      </c>
      <c r="K197"/>
    </row>
    <row r="198" spans="1:11" x14ac:dyDescent="0.25">
      <c r="B198" t="s">
        <v>10</v>
      </c>
      <c r="C198" s="64">
        <f t="shared" si="9"/>
        <v>0.49606928154033714</v>
      </c>
      <c r="D198" s="64">
        <f>E36/$E$162/60</f>
        <v>5.4739910313901345E-2</v>
      </c>
      <c r="E198" s="64">
        <f t="shared" si="11"/>
        <v>2.0045334007697959</v>
      </c>
      <c r="F198" s="74">
        <f t="shared" si="12"/>
        <v>0.86455331412103742</v>
      </c>
      <c r="G198" s="64">
        <f t="shared" si="13"/>
        <v>2.5411676705446369</v>
      </c>
      <c r="H198" s="64">
        <f t="shared" si="15"/>
        <v>1.8746994623384532</v>
      </c>
      <c r="I198" s="65">
        <f>SUM(Table26[[#This Row],[Adjusted FLE]:[Cost/Item]])</f>
        <v>7.8357630396281621</v>
      </c>
      <c r="J198" s="128">
        <f>Table26[[#This Row],[Coefficient]]/$I$328*$H$2</f>
        <v>2216.1742582417319</v>
      </c>
      <c r="K198"/>
    </row>
    <row r="199" spans="1:11" x14ac:dyDescent="0.25">
      <c r="B199" t="s">
        <v>9</v>
      </c>
      <c r="C199" s="64">
        <f t="shared" si="9"/>
        <v>0.49783937710337156</v>
      </c>
      <c r="D199" s="64">
        <f t="shared" si="10"/>
        <v>1.4869955156950674</v>
      </c>
      <c r="E199" s="64">
        <f t="shared" si="11"/>
        <v>2.378044791113235</v>
      </c>
      <c r="F199" s="74">
        <f t="shared" si="12"/>
        <v>1.0374639769452449</v>
      </c>
      <c r="G199" s="64">
        <f t="shared" si="13"/>
        <v>1.42430388041675</v>
      </c>
      <c r="H199" s="64">
        <f t="shared" si="15"/>
        <v>1.0790901232770906</v>
      </c>
      <c r="I199" s="65">
        <f>SUM(Table26[[#This Row],[Adjusted FLE]:[Cost/Item]])</f>
        <v>7.9037376645507598</v>
      </c>
      <c r="J199" s="128">
        <f>Table26[[#This Row],[Coefficient]]/$I$328*$H$2</f>
        <v>2235.3993947351714</v>
      </c>
      <c r="K199"/>
    </row>
    <row r="200" spans="1:11" x14ac:dyDescent="0.25">
      <c r="A200" s="63" t="s">
        <v>153</v>
      </c>
      <c r="B200"/>
      <c r="C200" s="64"/>
      <c r="D200" s="64"/>
      <c r="E200" s="64"/>
      <c r="F200" s="74"/>
      <c r="G200" s="64"/>
      <c r="H200" s="64"/>
      <c r="I200" s="73"/>
      <c r="J200" s="128">
        <f>SUBTOTAL(109,J179:J199)</f>
        <v>28548.206085472841</v>
      </c>
      <c r="K200"/>
    </row>
    <row r="201" spans="1:11" x14ac:dyDescent="0.25">
      <c r="A201" s="63" t="s">
        <v>14</v>
      </c>
      <c r="B201"/>
      <c r="C201" s="64"/>
      <c r="D201" s="64"/>
      <c r="E201" s="64"/>
      <c r="F201" s="74"/>
      <c r="G201" s="64"/>
      <c r="H201" s="64"/>
      <c r="I201" s="65"/>
      <c r="J201" s="127"/>
      <c r="K201"/>
    </row>
    <row r="202" spans="1:11" x14ac:dyDescent="0.25">
      <c r="B202" t="s">
        <v>40</v>
      </c>
      <c r="C202" s="64">
        <f t="shared" si="9"/>
        <v>1.5966704502459326</v>
      </c>
      <c r="D202" s="64">
        <f t="shared" si="10"/>
        <v>1.495964125560538</v>
      </c>
      <c r="E202" s="64">
        <f t="shared" si="11"/>
        <v>0.36749779014112932</v>
      </c>
      <c r="F202" s="74">
        <f t="shared" si="12"/>
        <v>0.86455331412103742</v>
      </c>
      <c r="G202" s="64">
        <f t="shared" ref="G202:G219" si="16">H40/$H$162*120</f>
        <v>0.44259712757366348</v>
      </c>
      <c r="H202" s="64">
        <f t="shared" ref="H202:H219" si="17">J40/$J$162</f>
        <v>0.51696329367793303</v>
      </c>
      <c r="I202" s="73">
        <f>SUM(Table26[[#This Row],[Adjusted FLE]:[Cost/Item]])</f>
        <v>5.2842461013202335</v>
      </c>
      <c r="J202" s="128">
        <f>Table26[[#This Row],[Coefficient]]/$I$328*$H$2</f>
        <v>1494.5334774334699</v>
      </c>
      <c r="K202"/>
    </row>
    <row r="203" spans="1:11" x14ac:dyDescent="0.25">
      <c r="B203" t="s">
        <v>15</v>
      </c>
      <c r="C203" s="64">
        <f t="shared" si="9"/>
        <v>0.44646235338630341</v>
      </c>
      <c r="D203" s="64">
        <f t="shared" si="10"/>
        <v>1.495964125560538</v>
      </c>
      <c r="E203" s="64">
        <f t="shared" si="11"/>
        <v>0.1670444500641497</v>
      </c>
      <c r="F203" s="74">
        <f t="shared" si="12"/>
        <v>0.86455331412103742</v>
      </c>
      <c r="G203" s="64">
        <f t="shared" si="16"/>
        <v>0.18759869125852024</v>
      </c>
      <c r="H203" s="64">
        <f t="shared" si="17"/>
        <v>0.75127124635540865</v>
      </c>
      <c r="I203" s="73">
        <f>SUM(Table26[[#This Row],[Adjusted FLE]:[Cost/Item]])</f>
        <v>3.9128941807459574</v>
      </c>
      <c r="J203" s="128">
        <f>Table26[[#This Row],[Coefficient]]/$I$328*$H$2</f>
        <v>1106.6765693063335</v>
      </c>
      <c r="K203"/>
    </row>
    <row r="204" spans="1:11" x14ac:dyDescent="0.25">
      <c r="B204" t="s">
        <v>16</v>
      </c>
      <c r="C204" s="64">
        <f t="shared" si="9"/>
        <v>0.36840113905649491</v>
      </c>
      <c r="D204" s="64">
        <f t="shared" si="10"/>
        <v>1.495964125560538</v>
      </c>
      <c r="E204" s="64">
        <f t="shared" si="11"/>
        <v>0.1670444500641497</v>
      </c>
      <c r="F204" s="74">
        <f t="shared" si="12"/>
        <v>0.86455331412103742</v>
      </c>
      <c r="G204" s="64">
        <f t="shared" si="16"/>
        <v>0.193597070866006</v>
      </c>
      <c r="H204" s="64">
        <f t="shared" si="17"/>
        <v>1.0854578280806053</v>
      </c>
      <c r="I204" s="73">
        <f>SUM(Table26[[#This Row],[Adjusted FLE]:[Cost/Item]])</f>
        <v>4.1750179277488311</v>
      </c>
      <c r="J204" s="128">
        <f>Table26[[#This Row],[Coefficient]]/$I$328*$H$2</f>
        <v>1180.8125401931206</v>
      </c>
      <c r="K204"/>
    </row>
    <row r="205" spans="1:11" x14ac:dyDescent="0.25">
      <c r="B205" t="s">
        <v>17</v>
      </c>
      <c r="C205" s="64">
        <f t="shared" si="9"/>
        <v>0.36840113905649491</v>
      </c>
      <c r="D205" s="64">
        <f t="shared" si="10"/>
        <v>1.495964125560538</v>
      </c>
      <c r="E205" s="64">
        <f t="shared" si="11"/>
        <v>0.1670444500641497</v>
      </c>
      <c r="F205" s="74">
        <f t="shared" si="12"/>
        <v>0.86455331412103742</v>
      </c>
      <c r="G205" s="64">
        <f t="shared" si="16"/>
        <v>0.17725506190732285</v>
      </c>
      <c r="H205" s="64">
        <f t="shared" si="17"/>
        <v>0.70988116513256316</v>
      </c>
      <c r="I205" s="73">
        <f>SUM(Table26[[#This Row],[Adjusted FLE]:[Cost/Item]])</f>
        <v>3.7830992558421066</v>
      </c>
      <c r="J205" s="128">
        <f>Table26[[#This Row],[Coefficient]]/$I$328*$H$2</f>
        <v>1069.966912573786</v>
      </c>
      <c r="K205"/>
    </row>
    <row r="206" spans="1:11" x14ac:dyDescent="0.25">
      <c r="B206" t="s">
        <v>18</v>
      </c>
      <c r="C206" s="64">
        <f t="shared" si="9"/>
        <v>0.36840113905649491</v>
      </c>
      <c r="D206" s="64">
        <f t="shared" si="10"/>
        <v>1.495964125560538</v>
      </c>
      <c r="E206" s="64">
        <f t="shared" si="11"/>
        <v>0.20045334007697962</v>
      </c>
      <c r="F206" s="74">
        <f t="shared" si="12"/>
        <v>0.86455331412103742</v>
      </c>
      <c r="G206" s="64">
        <f t="shared" si="16"/>
        <v>0.24406590574020945</v>
      </c>
      <c r="H206" s="64">
        <f t="shared" si="17"/>
        <v>1.1402908416664261</v>
      </c>
      <c r="I206" s="73">
        <f>SUM(Table26[[#This Row],[Adjusted FLE]:[Cost/Item]])</f>
        <v>4.3137286662216852</v>
      </c>
      <c r="J206" s="128">
        <f>Table26[[#This Row],[Coefficient]]/$I$328*$H$2</f>
        <v>1220.043839862416</v>
      </c>
      <c r="K206"/>
    </row>
    <row r="207" spans="1:11" x14ac:dyDescent="0.25">
      <c r="B207" t="s">
        <v>43</v>
      </c>
      <c r="C207" s="64">
        <f t="shared" si="9"/>
        <v>0.17404464623533861</v>
      </c>
      <c r="D207" s="64">
        <f t="shared" si="10"/>
        <v>1.495964125560538</v>
      </c>
      <c r="E207" s="64">
        <f t="shared" si="11"/>
        <v>0.35636149347018603</v>
      </c>
      <c r="F207" s="74">
        <f t="shared" si="12"/>
        <v>0.86455331412103742</v>
      </c>
      <c r="G207" s="64">
        <f t="shared" si="16"/>
        <v>0.43009875070918796</v>
      </c>
      <c r="H207" s="64">
        <f t="shared" si="17"/>
        <v>0.79267039838281739</v>
      </c>
      <c r="I207" s="65">
        <f>SUM(Table26[[#This Row],[Adjusted FLE]:[Cost/Item]])</f>
        <v>4.1136927284791058</v>
      </c>
      <c r="J207" s="128">
        <f>Table26[[#This Row],[Coefficient]]/$I$328*$H$2</f>
        <v>1163.4680483656139</v>
      </c>
      <c r="K207"/>
    </row>
    <row r="208" spans="1:11" x14ac:dyDescent="0.25">
      <c r="B208" t="s">
        <v>41</v>
      </c>
      <c r="C208" s="64">
        <f t="shared" si="9"/>
        <v>0.24214907302307981</v>
      </c>
      <c r="D208" s="64">
        <f t="shared" si="10"/>
        <v>1.495964125560538</v>
      </c>
      <c r="E208" s="64">
        <f t="shared" si="11"/>
        <v>0.46772446017961916</v>
      </c>
      <c r="F208" s="74">
        <f t="shared" si="12"/>
        <v>0.86455331412103742</v>
      </c>
      <c r="G208" s="64">
        <f t="shared" si="16"/>
        <v>0.5635784711156675</v>
      </c>
      <c r="H208" s="64">
        <f t="shared" si="17"/>
        <v>1.3165819283563236</v>
      </c>
      <c r="I208" s="65">
        <f>SUM(Table26[[#This Row],[Adjusted FLE]:[Cost/Item]])</f>
        <v>4.9505513723562657</v>
      </c>
      <c r="J208" s="128">
        <f>Table26[[#This Row],[Coefficient]]/$I$328*$H$2</f>
        <v>1400.1552190939999</v>
      </c>
      <c r="K208"/>
    </row>
    <row r="209" spans="1:11" x14ac:dyDescent="0.25">
      <c r="B209" t="s">
        <v>44</v>
      </c>
      <c r="C209" s="64">
        <f t="shared" si="9"/>
        <v>0.24214907302307981</v>
      </c>
      <c r="D209" s="64">
        <f t="shared" si="10"/>
        <v>1.495964125560538</v>
      </c>
      <c r="E209" s="64">
        <f t="shared" si="11"/>
        <v>0.35636149347018603</v>
      </c>
      <c r="F209" s="74">
        <f t="shared" si="12"/>
        <v>0.86455331412103742</v>
      </c>
      <c r="G209" s="64">
        <f t="shared" si="16"/>
        <v>0.43009875070918796</v>
      </c>
      <c r="H209" s="64">
        <f t="shared" si="17"/>
        <v>0.79267039838281717</v>
      </c>
      <c r="I209" s="65">
        <f>SUM(Table26[[#This Row],[Adjusted FLE]:[Cost/Item]])</f>
        <v>4.181797155266846</v>
      </c>
      <c r="J209" s="128">
        <f>Table26[[#This Row],[Coefficient]]/$I$328*$H$2</f>
        <v>1182.7298964786808</v>
      </c>
      <c r="K209"/>
    </row>
    <row r="210" spans="1:11" x14ac:dyDescent="0.25">
      <c r="B210" t="s">
        <v>45</v>
      </c>
      <c r="C210" s="64">
        <f t="shared" si="9"/>
        <v>0.22701475595913731</v>
      </c>
      <c r="D210" s="64">
        <f t="shared" si="10"/>
        <v>1.495964125560538</v>
      </c>
      <c r="E210" s="64">
        <f t="shared" si="11"/>
        <v>0.36749779014112932</v>
      </c>
      <c r="F210" s="74">
        <f t="shared" si="12"/>
        <v>0.51873198847262247</v>
      </c>
      <c r="G210" s="64">
        <f t="shared" si="16"/>
        <v>0.43661978015273967</v>
      </c>
      <c r="H210" s="64">
        <f t="shared" si="17"/>
        <v>0.4896057471146848</v>
      </c>
      <c r="I210" s="65">
        <f>SUM(Table26[[#This Row],[Adjusted FLE]:[Cost/Item]])</f>
        <v>3.5354341874008512</v>
      </c>
      <c r="J210" s="128">
        <f>Table26[[#This Row],[Coefficient]]/$I$328*$H$2</f>
        <v>999.92026280025823</v>
      </c>
      <c r="K210"/>
    </row>
    <row r="211" spans="1:11" x14ac:dyDescent="0.25">
      <c r="B211" s="63" t="s">
        <v>46</v>
      </c>
      <c r="C211" s="64">
        <f t="shared" si="9"/>
        <v>0.47673098751418841</v>
      </c>
      <c r="D211" s="64">
        <f t="shared" si="10"/>
        <v>1.495964125560538</v>
      </c>
      <c r="E211" s="64">
        <f t="shared" si="11"/>
        <v>0.40090668015395925</v>
      </c>
      <c r="F211" s="74">
        <f t="shared" si="12"/>
        <v>0.51873198847262247</v>
      </c>
      <c r="G211" s="64">
        <f t="shared" si="16"/>
        <v>0.4959599913187997</v>
      </c>
      <c r="H211" s="64">
        <f t="shared" si="17"/>
        <v>0.53476928303590932</v>
      </c>
      <c r="I211" s="73">
        <f>SUM(Table26[[#This Row],[Adjusted FLE]:[Cost/Item]])</f>
        <v>3.9230630560560167</v>
      </c>
      <c r="J211" s="128">
        <f>Table26[[#This Row],[Coefficient]]/$I$328*$H$2</f>
        <v>1109.5526133601736</v>
      </c>
      <c r="K211"/>
    </row>
    <row r="212" spans="1:11" x14ac:dyDescent="0.25">
      <c r="B212" s="63" t="s">
        <v>42</v>
      </c>
      <c r="C212" s="64">
        <f t="shared" si="9"/>
        <v>0.67347710934544081</v>
      </c>
      <c r="D212" s="64">
        <f t="shared" si="10"/>
        <v>1.495964125560538</v>
      </c>
      <c r="E212" s="64">
        <f t="shared" si="11"/>
        <v>0.8018133603079185</v>
      </c>
      <c r="F212" s="74">
        <f t="shared" si="12"/>
        <v>0.51873198847262247</v>
      </c>
      <c r="G212" s="64">
        <f t="shared" si="16"/>
        <v>1.0031301380751516</v>
      </c>
      <c r="H212" s="64">
        <f t="shared" si="17"/>
        <v>0.46095107549886871</v>
      </c>
      <c r="I212" s="73">
        <f>SUM(Table26[[#This Row],[Adjusted FLE]:[Cost/Item]])</f>
        <v>4.9540677972605414</v>
      </c>
      <c r="J212" s="128">
        <f>Table26[[#This Row],[Coefficient]]/$I$328*$H$2</f>
        <v>1401.1497629966784</v>
      </c>
      <c r="K212"/>
    </row>
    <row r="213" spans="1:11" x14ac:dyDescent="0.25">
      <c r="B213" s="63" t="s">
        <v>47</v>
      </c>
      <c r="C213" s="64">
        <f t="shared" si="9"/>
        <v>0.24971623155505104</v>
      </c>
      <c r="D213" s="64">
        <f t="shared" si="10"/>
        <v>1.495964125560538</v>
      </c>
      <c r="E213" s="64">
        <f t="shared" si="11"/>
        <v>0.43431557016678918</v>
      </c>
      <c r="F213" s="74">
        <f t="shared" si="12"/>
        <v>0.86455331412103742</v>
      </c>
      <c r="G213" s="64">
        <f t="shared" si="16"/>
        <v>0.53831460861737912</v>
      </c>
      <c r="H213" s="64">
        <f t="shared" si="17"/>
        <v>1.0779109186838471</v>
      </c>
      <c r="I213" s="73">
        <f>SUM(Table26[[#This Row],[Adjusted FLE]:[Cost/Item]])</f>
        <v>4.6607747687046421</v>
      </c>
      <c r="J213" s="128">
        <f>Table26[[#This Row],[Coefficient]]/$I$328*$H$2</f>
        <v>1318.1982422934457</v>
      </c>
      <c r="K213"/>
    </row>
    <row r="214" spans="1:11" x14ac:dyDescent="0.25">
      <c r="B214" s="63" t="s">
        <v>48</v>
      </c>
      <c r="C214" s="64">
        <f t="shared" si="9"/>
        <v>0.47673098751418841</v>
      </c>
      <c r="D214" s="64">
        <f t="shared" si="10"/>
        <v>1.495964125560538</v>
      </c>
      <c r="E214" s="64">
        <f t="shared" si="11"/>
        <v>0.40090668015395925</v>
      </c>
      <c r="F214" s="74">
        <f t="shared" si="12"/>
        <v>0.51873198847262247</v>
      </c>
      <c r="G214" s="64">
        <f t="shared" si="16"/>
        <v>0.4943152743296505</v>
      </c>
      <c r="H214" s="64">
        <f t="shared" si="17"/>
        <v>0.76990267892865538</v>
      </c>
      <c r="I214" s="73">
        <f>SUM(Table26[[#This Row],[Adjusted FLE]:[Cost/Item]])</f>
        <v>4.1565517349596135</v>
      </c>
      <c r="J214" s="128">
        <f>Table26[[#This Row],[Coefficient]]/$I$328*$H$2</f>
        <v>1175.5897812990315</v>
      </c>
      <c r="K214"/>
    </row>
    <row r="215" spans="1:11" x14ac:dyDescent="0.25">
      <c r="B215" s="63" t="s">
        <v>49</v>
      </c>
      <c r="C215" s="64">
        <f t="shared" si="9"/>
        <v>0.52213393870601588</v>
      </c>
      <c r="D215" s="64">
        <f t="shared" si="10"/>
        <v>1.495964125560538</v>
      </c>
      <c r="E215" s="64">
        <f t="shared" si="11"/>
        <v>0.33408890012829939</v>
      </c>
      <c r="F215" s="74">
        <f t="shared" si="12"/>
        <v>0.86455331412103742</v>
      </c>
      <c r="G215" s="64">
        <f t="shared" si="16"/>
        <v>0.38415288755514509</v>
      </c>
      <c r="H215" s="64">
        <f t="shared" si="17"/>
        <v>0.82839122675353094</v>
      </c>
      <c r="I215" s="73">
        <f>SUM(Table26[[#This Row],[Adjusted FLE]:[Cost/Item]])</f>
        <v>4.4292843928245667</v>
      </c>
      <c r="J215" s="128">
        <f>Table26[[#This Row],[Coefficient]]/$I$328*$H$2</f>
        <v>1252.7262506748132</v>
      </c>
      <c r="K215"/>
    </row>
    <row r="216" spans="1:11" x14ac:dyDescent="0.25">
      <c r="B216" s="63" t="s">
        <v>50</v>
      </c>
      <c r="C216" s="64">
        <f t="shared" si="9"/>
        <v>0.370790768066591</v>
      </c>
      <c r="D216" s="64">
        <f t="shared" si="10"/>
        <v>1.495964125560538</v>
      </c>
      <c r="E216" s="64">
        <f t="shared" si="11"/>
        <v>0.35636149347018603</v>
      </c>
      <c r="F216" s="74">
        <f t="shared" si="12"/>
        <v>0.86455331412103742</v>
      </c>
      <c r="G216" s="64">
        <f t="shared" si="16"/>
        <v>0.43009875070918796</v>
      </c>
      <c r="H216" s="64">
        <f t="shared" si="17"/>
        <v>0.79267039838281717</v>
      </c>
      <c r="I216" s="73">
        <f>SUM(Table26[[#This Row],[Adjusted FLE]:[Cost/Item]])</f>
        <v>4.3104388503103577</v>
      </c>
      <c r="J216" s="128">
        <f>Table26[[#This Row],[Coefficient]]/$I$328*$H$2</f>
        <v>1219.1133873589181</v>
      </c>
      <c r="K216"/>
    </row>
    <row r="217" spans="1:11" x14ac:dyDescent="0.25">
      <c r="B217" s="63" t="s">
        <v>51</v>
      </c>
      <c r="C217" s="64">
        <f t="shared" si="9"/>
        <v>0.10594021944759741</v>
      </c>
      <c r="D217" s="64">
        <f t="shared" si="10"/>
        <v>1.495964125560538</v>
      </c>
      <c r="E217" s="64">
        <f t="shared" si="11"/>
        <v>0.35636149347018603</v>
      </c>
      <c r="F217" s="74">
        <f t="shared" si="12"/>
        <v>0.86455331412103742</v>
      </c>
      <c r="G217" s="64">
        <f t="shared" si="16"/>
        <v>0.43009875070918796</v>
      </c>
      <c r="H217" s="64">
        <f t="shared" si="17"/>
        <v>0.79267039838281717</v>
      </c>
      <c r="I217" s="73">
        <f>SUM(Table26[[#This Row],[Adjusted FLE]:[Cost/Item]])</f>
        <v>4.0455883016913639</v>
      </c>
      <c r="J217" s="128">
        <f>Table26[[#This Row],[Coefficient]]/$I$328*$H$2</f>
        <v>1144.206200252547</v>
      </c>
      <c r="K217"/>
    </row>
    <row r="218" spans="1:11" x14ac:dyDescent="0.25">
      <c r="B218" s="63" t="s">
        <v>10</v>
      </c>
      <c r="C218" s="64">
        <f t="shared" si="9"/>
        <v>0.3699499726741497</v>
      </c>
      <c r="D218" s="64">
        <f>E56/$E$162/60</f>
        <v>5.4739910313901345E-2</v>
      </c>
      <c r="E218" s="64">
        <f t="shared" si="11"/>
        <v>4.0090668015395918</v>
      </c>
      <c r="F218" s="74">
        <f t="shared" si="12"/>
        <v>1.3832853025936598</v>
      </c>
      <c r="G218" s="64">
        <f t="shared" si="16"/>
        <v>2.2237667367000045</v>
      </c>
      <c r="H218" s="64">
        <f t="shared" si="17"/>
        <v>0.94454287918801172</v>
      </c>
      <c r="I218" s="73">
        <f>SUM(Table26[[#This Row],[Adjusted FLE]:[Cost/Item]])</f>
        <v>8.9853516030093186</v>
      </c>
      <c r="J218" s="128">
        <f>Table26[[#This Row],[Coefficient]]/$I$328*$H$2</f>
        <v>2541.3102493187812</v>
      </c>
      <c r="K218"/>
    </row>
    <row r="219" spans="1:11" x14ac:dyDescent="0.25">
      <c r="B219" s="63" t="s">
        <v>9</v>
      </c>
      <c r="C219" s="64">
        <f t="shared" si="9"/>
        <v>0.3699499726741497</v>
      </c>
      <c r="D219" s="64">
        <f t="shared" si="10"/>
        <v>1.495964125560538</v>
      </c>
      <c r="E219" s="64">
        <f t="shared" si="11"/>
        <v>0.91740811975231007</v>
      </c>
      <c r="F219" s="74">
        <f t="shared" si="12"/>
        <v>0.51873198847262247</v>
      </c>
      <c r="G219" s="64">
        <f t="shared" si="16"/>
        <v>1.6215815839311081</v>
      </c>
      <c r="H219" s="64">
        <f t="shared" si="17"/>
        <v>0.62273794569187146</v>
      </c>
      <c r="I219" s="73">
        <f>SUM(Table26[[#This Row],[Adjusted FLE]:[Cost/Item]])</f>
        <v>5.5463737360825993</v>
      </c>
      <c r="J219" s="128">
        <f>Table26[[#This Row],[Coefficient]]/$I$328*$H$2</f>
        <v>1568.6705478880292</v>
      </c>
      <c r="K219"/>
    </row>
    <row r="220" spans="1:11" x14ac:dyDescent="0.25">
      <c r="A220" s="63" t="s">
        <v>153</v>
      </c>
      <c r="C220" s="64"/>
      <c r="D220" s="64"/>
      <c r="E220" s="64"/>
      <c r="F220" s="74"/>
      <c r="G220" s="64"/>
      <c r="H220" s="64"/>
      <c r="I220" s="73"/>
      <c r="J220" s="129">
        <f>SUBTOTAL(109,J202:J219)</f>
        <v>23548.82380155009</v>
      </c>
      <c r="K220"/>
    </row>
    <row r="221" spans="1:11" x14ac:dyDescent="0.25">
      <c r="A221" s="63" t="s">
        <v>3</v>
      </c>
      <c r="C221" s="64"/>
      <c r="D221" s="64"/>
      <c r="E221" s="64"/>
      <c r="F221" s="74"/>
      <c r="G221" s="64"/>
      <c r="H221" s="64"/>
      <c r="I221" s="73"/>
      <c r="J221" s="129"/>
      <c r="K221"/>
    </row>
    <row r="222" spans="1:11" x14ac:dyDescent="0.25">
      <c r="B222" s="63" t="s">
        <v>52</v>
      </c>
      <c r="C222" s="64">
        <f t="shared" si="9"/>
        <v>0.51456678017404467</v>
      </c>
      <c r="D222" s="64">
        <f t="shared" si="10"/>
        <v>1.6932735426008969</v>
      </c>
      <c r="E222" s="64">
        <f t="shared" si="11"/>
        <v>1.2027200404618776</v>
      </c>
      <c r="F222" s="74">
        <f t="shared" si="12"/>
        <v>1.2103746397694524</v>
      </c>
      <c r="G222" s="64">
        <f t="shared" ref="G222:G236" si="18">H60/$H$162*120</f>
        <v>1.5051936699342472</v>
      </c>
      <c r="H222" s="64">
        <f t="shared" ref="H222:H236" si="19">J60/$J$162</f>
        <v>1.1104569654573666</v>
      </c>
      <c r="I222" s="73">
        <f>SUM(Table26[[#This Row],[Adjusted FLE]:[Cost/Item]])</f>
        <v>7.2365856383978855</v>
      </c>
      <c r="J222" s="129">
        <f>Table26[[#This Row],[Coefficient]]/$I$328*$H$2</f>
        <v>2046.7100304427083</v>
      </c>
      <c r="K222"/>
    </row>
    <row r="223" spans="1:11" x14ac:dyDescent="0.25">
      <c r="B223" s="63" t="s">
        <v>53</v>
      </c>
      <c r="C223" s="64">
        <f t="shared" si="9"/>
        <v>0.4388951948543322</v>
      </c>
      <c r="D223" s="64">
        <f t="shared" si="10"/>
        <v>1.6932735426008969</v>
      </c>
      <c r="E223" s="64">
        <f t="shared" si="11"/>
        <v>1.1734872617006515</v>
      </c>
      <c r="F223" s="74">
        <f t="shared" si="12"/>
        <v>0.86455331412103742</v>
      </c>
      <c r="G223" s="64">
        <f t="shared" si="18"/>
        <v>1.2663006304789648</v>
      </c>
      <c r="H223" s="64">
        <f t="shared" si="19"/>
        <v>1.2572679373161779</v>
      </c>
      <c r="I223" s="73">
        <f>SUM(Table26[[#This Row],[Adjusted FLE]:[Cost/Item]])</f>
        <v>6.6937778810720614</v>
      </c>
      <c r="J223" s="129">
        <f>Table26[[#This Row],[Coefficient]]/$I$328*$H$2</f>
        <v>1893.1887239821058</v>
      </c>
      <c r="K223"/>
    </row>
    <row r="224" spans="1:11" x14ac:dyDescent="0.25">
      <c r="B224" s="63" t="s">
        <v>54</v>
      </c>
      <c r="C224" s="64">
        <f t="shared" si="9"/>
        <v>0.26485054861899354</v>
      </c>
      <c r="D224" s="64">
        <f t="shared" si="10"/>
        <v>1.6932735426008969</v>
      </c>
      <c r="E224" s="64">
        <f t="shared" si="11"/>
        <v>0.86863114033357836</v>
      </c>
      <c r="F224" s="74">
        <f t="shared" si="12"/>
        <v>1.0374639769452449</v>
      </c>
      <c r="G224" s="64">
        <f t="shared" si="18"/>
        <v>1.0785852105850251</v>
      </c>
      <c r="H224" s="64">
        <f t="shared" si="19"/>
        <v>1.3145772805478098</v>
      </c>
      <c r="I224" s="73">
        <f>SUM(Table26[[#This Row],[Adjusted FLE]:[Cost/Item]])</f>
        <v>6.2573816996315488</v>
      </c>
      <c r="J224" s="129">
        <f>Table26[[#This Row],[Coefficient]]/$I$328*$H$2</f>
        <v>1769.7636052269393</v>
      </c>
      <c r="K224"/>
    </row>
    <row r="225" spans="1:11" x14ac:dyDescent="0.25">
      <c r="B225" s="63" t="s">
        <v>55</v>
      </c>
      <c r="C225" s="64">
        <f t="shared" si="9"/>
        <v>0.25728339008702233</v>
      </c>
      <c r="D225" s="64">
        <f t="shared" si="10"/>
        <v>1.6932735426008969</v>
      </c>
      <c r="E225" s="64">
        <f t="shared" si="11"/>
        <v>0.50113335019244898</v>
      </c>
      <c r="F225" s="74">
        <f t="shared" si="12"/>
        <v>1.0374639769452449</v>
      </c>
      <c r="G225" s="64">
        <f t="shared" si="18"/>
        <v>0.61737039146666894</v>
      </c>
      <c r="H225" s="64">
        <f t="shared" si="19"/>
        <v>1.5734126887647493</v>
      </c>
      <c r="I225" s="73">
        <f>SUM(Table26[[#This Row],[Adjusted FLE]:[Cost/Item]])</f>
        <v>5.6799373400570312</v>
      </c>
      <c r="J225" s="129">
        <f>Table26[[#This Row],[Coefficient]]/$I$328*$H$2</f>
        <v>1606.4460930990258</v>
      </c>
      <c r="K225"/>
    </row>
    <row r="226" spans="1:11" x14ac:dyDescent="0.25">
      <c r="B226" s="63" t="s">
        <v>56</v>
      </c>
      <c r="C226" s="64">
        <f t="shared" si="9"/>
        <v>0.71888006053726827</v>
      </c>
      <c r="D226" s="64">
        <f t="shared" si="10"/>
        <v>1.6932735426008969</v>
      </c>
      <c r="E226" s="64">
        <f t="shared" si="11"/>
        <v>1.0690844804105579</v>
      </c>
      <c r="F226" s="74">
        <f t="shared" si="12"/>
        <v>0.69164265129682989</v>
      </c>
      <c r="G226" s="64">
        <f t="shared" si="18"/>
        <v>1.342497087565149</v>
      </c>
      <c r="H226" s="64">
        <f t="shared" si="19"/>
        <v>1.1761386613010274</v>
      </c>
      <c r="I226" s="73">
        <f>SUM(Table26[[#This Row],[Adjusted FLE]:[Cost/Item]])</f>
        <v>6.6915164837117285</v>
      </c>
      <c r="J226" s="129">
        <f>Table26[[#This Row],[Coefficient]]/$I$328*$H$2</f>
        <v>1892.5491371808869</v>
      </c>
      <c r="K226"/>
    </row>
    <row r="227" spans="1:11" x14ac:dyDescent="0.25">
      <c r="B227" s="63" t="s">
        <v>57</v>
      </c>
      <c r="C227" s="64">
        <f t="shared" si="9"/>
        <v>0.26485054861899354</v>
      </c>
      <c r="D227" s="64">
        <f t="shared" si="10"/>
        <v>1.6932735426008969</v>
      </c>
      <c r="E227" s="64">
        <f t="shared" si="11"/>
        <v>1.3029467105003676</v>
      </c>
      <c r="F227" s="74">
        <f t="shared" si="12"/>
        <v>1.0374639769452449</v>
      </c>
      <c r="G227" s="64">
        <f t="shared" si="18"/>
        <v>1.6078601854180516</v>
      </c>
      <c r="H227" s="64">
        <f t="shared" si="19"/>
        <v>1.2520794371059063</v>
      </c>
      <c r="I227" s="73">
        <f>SUM(Table26[[#This Row],[Adjusted FLE]:[Cost/Item]])</f>
        <v>7.1584744011894612</v>
      </c>
      <c r="J227" s="129">
        <f>Table26[[#This Row],[Coefficient]]/$I$328*$H$2</f>
        <v>2024.6179747864492</v>
      </c>
      <c r="K227"/>
    </row>
    <row r="228" spans="1:11" x14ac:dyDescent="0.25">
      <c r="B228" s="63" t="s">
        <v>58</v>
      </c>
      <c r="C228" s="64">
        <f t="shared" si="9"/>
        <v>0.51456678017404467</v>
      </c>
      <c r="D228" s="64">
        <f t="shared" si="10"/>
        <v>1.6932735426008969</v>
      </c>
      <c r="E228" s="64">
        <f t="shared" si="11"/>
        <v>1.002266700384898</v>
      </c>
      <c r="F228" s="74">
        <f t="shared" si="12"/>
        <v>1.2103746397694524</v>
      </c>
      <c r="G228" s="64">
        <f t="shared" si="18"/>
        <v>1.2518357441709411</v>
      </c>
      <c r="H228" s="64">
        <f t="shared" si="19"/>
        <v>1.2997193026729421</v>
      </c>
      <c r="I228" s="73">
        <f>SUM(Table26[[#This Row],[Adjusted FLE]:[Cost/Item]])</f>
        <v>6.9720367097731746</v>
      </c>
      <c r="J228" s="129">
        <f>Table26[[#This Row],[Coefficient]]/$I$328*$H$2</f>
        <v>1971.8881499572394</v>
      </c>
      <c r="K228"/>
    </row>
    <row r="229" spans="1:11" x14ac:dyDescent="0.25">
      <c r="B229" s="63" t="s">
        <v>59</v>
      </c>
      <c r="C229" s="64">
        <f t="shared" si="9"/>
        <v>0.4388951948543322</v>
      </c>
      <c r="D229" s="64">
        <f t="shared" si="10"/>
        <v>1.6932735426008969</v>
      </c>
      <c r="E229" s="64">
        <f t="shared" si="11"/>
        <v>2.2049867408467758</v>
      </c>
      <c r="F229" s="74">
        <f t="shared" si="12"/>
        <v>0.86455331412103742</v>
      </c>
      <c r="G229" s="64">
        <f t="shared" si="18"/>
        <v>1.1933830912777978</v>
      </c>
      <c r="H229" s="64">
        <f t="shared" si="19"/>
        <v>1.2867480521472641</v>
      </c>
      <c r="I229" s="73">
        <f>SUM(Table26[[#This Row],[Adjusted FLE]:[Cost/Item]])</f>
        <v>7.6818399358481049</v>
      </c>
      <c r="J229" s="129">
        <f>Table26[[#This Row],[Coefficient]]/$I$328*$H$2</f>
        <v>2172.6404736414488</v>
      </c>
      <c r="K229"/>
    </row>
    <row r="230" spans="1:11" x14ac:dyDescent="0.25">
      <c r="B230" s="63" t="s">
        <v>60</v>
      </c>
      <c r="C230" s="64">
        <f t="shared" si="9"/>
        <v>0.99129776768823308</v>
      </c>
      <c r="D230" s="64">
        <f t="shared" si="10"/>
        <v>1.6932735426008969</v>
      </c>
      <c r="E230" s="64">
        <f t="shared" si="11"/>
        <v>1.1734872617006515</v>
      </c>
      <c r="F230" s="74">
        <f t="shared" si="12"/>
        <v>1.2103746397694524</v>
      </c>
      <c r="G230" s="64">
        <f t="shared" si="18"/>
        <v>1.2663006304789648</v>
      </c>
      <c r="H230" s="64">
        <f t="shared" si="19"/>
        <v>1.2572679373161777</v>
      </c>
      <c r="I230" s="73">
        <f>SUM(Table26[[#This Row],[Adjusted FLE]:[Cost/Item]])</f>
        <v>7.5920017795543764</v>
      </c>
      <c r="J230" s="129">
        <f>Table26[[#This Row],[Coefficient]]/$I$328*$H$2</f>
        <v>2147.2317153138733</v>
      </c>
      <c r="K230"/>
    </row>
    <row r="231" spans="1:11" x14ac:dyDescent="0.25">
      <c r="B231" s="63" t="s">
        <v>61</v>
      </c>
      <c r="C231" s="64">
        <f t="shared" si="9"/>
        <v>0.25728339008702233</v>
      </c>
      <c r="D231" s="64">
        <f t="shared" si="10"/>
        <v>1.6932735426008969</v>
      </c>
      <c r="E231" s="64">
        <f t="shared" si="11"/>
        <v>1.1734872617006515</v>
      </c>
      <c r="F231" s="74">
        <f t="shared" si="12"/>
        <v>1.0374639769452449</v>
      </c>
      <c r="G231" s="64">
        <f t="shared" si="18"/>
        <v>1.2663006304789648</v>
      </c>
      <c r="H231" s="64">
        <f t="shared" si="19"/>
        <v>1.2572679373161777</v>
      </c>
      <c r="I231" s="73">
        <f>SUM(Table26[[#This Row],[Adjusted FLE]:[Cost/Item]])</f>
        <v>6.6850767391289576</v>
      </c>
      <c r="J231" s="129">
        <f>Table26[[#This Row],[Coefficient]]/$I$328*$H$2</f>
        <v>1890.7277962212622</v>
      </c>
      <c r="K231"/>
    </row>
    <row r="232" spans="1:11" x14ac:dyDescent="0.25">
      <c r="B232" s="63" t="s">
        <v>62</v>
      </c>
      <c r="C232" s="64">
        <f t="shared" ref="C232:C295" si="20">D70/$D$162*60</f>
        <v>0.76428301172909574</v>
      </c>
      <c r="D232" s="64">
        <f t="shared" ref="D232:D295" si="21">E70/$E$162*10</f>
        <v>1.6932735426008969</v>
      </c>
      <c r="E232" s="64">
        <f t="shared" ref="E232:E295" si="22">F70/$F$162*120</f>
        <v>1.2361289304747078</v>
      </c>
      <c r="F232" s="74">
        <f t="shared" ref="F232:F295" si="23">G70/$G$162*120</f>
        <v>0.86455331412103742</v>
      </c>
      <c r="G232" s="64">
        <f t="shared" si="18"/>
        <v>1.5336796634138361</v>
      </c>
      <c r="H232" s="64">
        <f t="shared" si="19"/>
        <v>1.2645790057942869</v>
      </c>
      <c r="I232" s="73">
        <f>SUM(Table26[[#This Row],[Adjusted FLE]:[Cost/Item]])</f>
        <v>7.3564974681338615</v>
      </c>
      <c r="J232" s="129">
        <f>Table26[[#This Row],[Coefficient]]/$I$328*$H$2</f>
        <v>2080.6244697864672</v>
      </c>
      <c r="K232"/>
    </row>
    <row r="233" spans="1:11" x14ac:dyDescent="0.25">
      <c r="B233" s="63" t="s">
        <v>63</v>
      </c>
      <c r="C233" s="64">
        <f t="shared" si="20"/>
        <v>0.35565645100264848</v>
      </c>
      <c r="D233" s="64">
        <f t="shared" si="21"/>
        <v>1.6932735426008969</v>
      </c>
      <c r="E233" s="64">
        <f t="shared" si="22"/>
        <v>1.1734872617006515</v>
      </c>
      <c r="F233" s="74">
        <f t="shared" si="23"/>
        <v>0.86455331412103742</v>
      </c>
      <c r="G233" s="64">
        <f t="shared" si="18"/>
        <v>1.2663006304789648</v>
      </c>
      <c r="H233" s="64">
        <f t="shared" si="19"/>
        <v>1.2572679373161779</v>
      </c>
      <c r="I233" s="73">
        <f>SUM(Table26[[#This Row],[Adjusted FLE]:[Cost/Item]])</f>
        <v>6.6105391372203774</v>
      </c>
      <c r="J233" s="129">
        <f>Table26[[#This Row],[Coefficient]]/$I$328*$H$2</f>
        <v>1869.6464651772465</v>
      </c>
      <c r="K233"/>
    </row>
    <row r="234" spans="1:11" x14ac:dyDescent="0.25">
      <c r="B234" s="63" t="s">
        <v>64</v>
      </c>
      <c r="C234" s="64">
        <f t="shared" si="20"/>
        <v>0.1664774877033674</v>
      </c>
      <c r="D234" s="64">
        <f t="shared" si="21"/>
        <v>1.6932735426008969</v>
      </c>
      <c r="E234" s="64">
        <f t="shared" si="22"/>
        <v>1.1734872617006515</v>
      </c>
      <c r="F234" s="74">
        <f t="shared" si="23"/>
        <v>1.3832853025936598</v>
      </c>
      <c r="G234" s="64">
        <f t="shared" si="18"/>
        <v>1.2663006304789648</v>
      </c>
      <c r="H234" s="64">
        <f t="shared" si="19"/>
        <v>1.2572679373161779</v>
      </c>
      <c r="I234" s="73">
        <f>SUM(Table26[[#This Row],[Adjusted FLE]:[Cost/Item]])</f>
        <v>6.9400921623937188</v>
      </c>
      <c r="J234" s="129">
        <f>Table26[[#This Row],[Coefficient]]/$I$328*$H$2</f>
        <v>1962.8533331518433</v>
      </c>
      <c r="K234"/>
    </row>
    <row r="235" spans="1:11" x14ac:dyDescent="0.25">
      <c r="B235" s="63" t="s">
        <v>10</v>
      </c>
      <c r="C235" s="64">
        <f t="shared" si="20"/>
        <v>0.45752204662533819</v>
      </c>
      <c r="D235" s="64">
        <f>E73/$E$162/60</f>
        <v>5.4739910313901345E-2</v>
      </c>
      <c r="E235" s="64">
        <f t="shared" si="22"/>
        <v>3.842022351475443</v>
      </c>
      <c r="F235" s="74">
        <f t="shared" si="23"/>
        <v>0.86455331412103742</v>
      </c>
      <c r="G235" s="64">
        <f t="shared" si="18"/>
        <v>4.1930566353116046</v>
      </c>
      <c r="H235" s="64">
        <f t="shared" si="19"/>
        <v>1.8959251450168355</v>
      </c>
      <c r="I235" s="73">
        <f>SUM(Table26[[#This Row],[Adjusted FLE]:[Cost/Item]])</f>
        <v>11.30781940286416</v>
      </c>
      <c r="J235" s="129">
        <f>Table26[[#This Row],[Coefficient]]/$I$328*$H$2</f>
        <v>3198.1694891405423</v>
      </c>
      <c r="K235"/>
    </row>
    <row r="236" spans="1:11" x14ac:dyDescent="0.25">
      <c r="B236" s="63" t="s">
        <v>9</v>
      </c>
      <c r="C236" s="64">
        <f t="shared" si="20"/>
        <v>0.43788624038340263</v>
      </c>
      <c r="D236" s="64">
        <f t="shared" si="21"/>
        <v>1.6932735426008969</v>
      </c>
      <c r="E236" s="64">
        <f t="shared" si="22"/>
        <v>2.0526422023882716</v>
      </c>
      <c r="F236" s="74">
        <f t="shared" si="23"/>
        <v>0.51873198847262247</v>
      </c>
      <c r="G236" s="64">
        <f t="shared" si="18"/>
        <v>0.18508744818301603</v>
      </c>
      <c r="H236" s="64">
        <f t="shared" si="19"/>
        <v>1.037700042054245</v>
      </c>
      <c r="I236" s="73">
        <f>SUM(Table26[[#This Row],[Adjusted FLE]:[Cost/Item]])</f>
        <v>5.9253214640824545</v>
      </c>
      <c r="J236" s="129">
        <f>Table26[[#This Row],[Coefficient]]/$I$328*$H$2</f>
        <v>1675.8476276140543</v>
      </c>
      <c r="K236"/>
    </row>
    <row r="237" spans="1:11" x14ac:dyDescent="0.25">
      <c r="A237" s="63" t="s">
        <v>153</v>
      </c>
      <c r="C237" s="64"/>
      <c r="D237" s="64"/>
      <c r="E237" s="64"/>
      <c r="F237" s="74"/>
      <c r="G237" s="64"/>
      <c r="H237" s="64"/>
      <c r="I237" s="73"/>
      <c r="J237" s="129">
        <f>SUBTOTAL(109,J222:J236)</f>
        <v>30202.905084722093</v>
      </c>
      <c r="K237"/>
    </row>
    <row r="238" spans="1:11" x14ac:dyDescent="0.25">
      <c r="A238" s="63" t="s">
        <v>148</v>
      </c>
      <c r="C238" s="64"/>
      <c r="D238" s="64"/>
      <c r="E238" s="64"/>
      <c r="F238" s="74"/>
      <c r="G238" s="64"/>
      <c r="H238" s="64"/>
      <c r="I238" s="73"/>
      <c r="J238" s="129"/>
      <c r="K238"/>
    </row>
    <row r="239" spans="1:11" x14ac:dyDescent="0.25">
      <c r="B239" s="63" t="s">
        <v>69</v>
      </c>
      <c r="C239" s="64">
        <f t="shared" si="20"/>
        <v>0.48429814604615962</v>
      </c>
      <c r="D239" s="64">
        <f t="shared" si="21"/>
        <v>0.52556053811659187</v>
      </c>
      <c r="E239" s="64">
        <f t="shared" si="22"/>
        <v>0.73499558028225864</v>
      </c>
      <c r="F239" s="74">
        <f t="shared" si="23"/>
        <v>0.86455331412103742</v>
      </c>
      <c r="G239" s="64">
        <f t="shared" ref="G239:G247" si="24">H77/$H$162*120</f>
        <v>0.89208019302772945</v>
      </c>
      <c r="H239" s="64">
        <f t="shared" ref="H239:H247" si="25">J77/$J$162</f>
        <v>0.28418830697167397</v>
      </c>
      <c r="I239" s="73">
        <f>SUM(Table26[[#This Row],[Adjusted FLE]:[Cost/Item]])</f>
        <v>3.7856760785654506</v>
      </c>
      <c r="J239" s="129">
        <f>Table26[[#This Row],[Coefficient]]/$I$328*$H$2</f>
        <v>1070.6957105426177</v>
      </c>
      <c r="K239"/>
    </row>
    <row r="240" spans="1:11" x14ac:dyDescent="0.25">
      <c r="B240" s="63" t="s">
        <v>70</v>
      </c>
      <c r="C240" s="64">
        <f t="shared" si="20"/>
        <v>1.0139992432841467</v>
      </c>
      <c r="D240" s="64">
        <f t="shared" si="21"/>
        <v>0.52556053811659187</v>
      </c>
      <c r="E240" s="64">
        <f t="shared" si="22"/>
        <v>0.56795113021810895</v>
      </c>
      <c r="F240" s="74">
        <f t="shared" si="23"/>
        <v>0.86455331412103742</v>
      </c>
      <c r="G240" s="64">
        <f t="shared" si="24"/>
        <v>0.69710341072325555</v>
      </c>
      <c r="H240" s="64">
        <f t="shared" si="25"/>
        <v>0.67391542503863755</v>
      </c>
      <c r="I240" s="73">
        <f>SUM(Table26[[#This Row],[Adjusted FLE]:[Cost/Item]])</f>
        <v>4.3430830615017779</v>
      </c>
      <c r="J240" s="129">
        <f>Table26[[#This Row],[Coefficient]]/$I$328*$H$2</f>
        <v>1228.3460887764006</v>
      </c>
      <c r="K240"/>
    </row>
    <row r="241" spans="1:11" x14ac:dyDescent="0.25">
      <c r="B241" s="63" t="s">
        <v>71</v>
      </c>
      <c r="C241" s="64">
        <f t="shared" si="20"/>
        <v>9.0805902383654949E-2</v>
      </c>
      <c r="D241" s="64">
        <f t="shared" si="21"/>
        <v>0.52556053811659187</v>
      </c>
      <c r="E241" s="64">
        <f t="shared" si="22"/>
        <v>0.40090668015395925</v>
      </c>
      <c r="F241" s="74">
        <f t="shared" si="23"/>
        <v>0.17291066282420747</v>
      </c>
      <c r="G241" s="64">
        <f t="shared" si="24"/>
        <v>0.48819490804010496</v>
      </c>
      <c r="H241" s="64">
        <f t="shared" si="25"/>
        <v>0.65174637868566054</v>
      </c>
      <c r="I241" s="73">
        <f>SUM(Table26[[#This Row],[Adjusted FLE]:[Cost/Item]])</f>
        <v>2.3301250702041791</v>
      </c>
      <c r="J241" s="129">
        <f>Table26[[#This Row],[Coefficient]]/$I$328*$H$2</f>
        <v>659.02493132503673</v>
      </c>
      <c r="K241"/>
    </row>
    <row r="242" spans="1:11" x14ac:dyDescent="0.25">
      <c r="B242" s="63" t="s">
        <v>72</v>
      </c>
      <c r="C242" s="64">
        <f t="shared" si="20"/>
        <v>1.3847900113507379</v>
      </c>
      <c r="D242" s="64">
        <f t="shared" si="21"/>
        <v>0.52556053811659187</v>
      </c>
      <c r="E242" s="64">
        <f t="shared" si="22"/>
        <v>0.9688578103720682</v>
      </c>
      <c r="F242" s="74">
        <f t="shared" si="23"/>
        <v>0.86455331412103742</v>
      </c>
      <c r="G242" s="64">
        <f t="shared" si="24"/>
        <v>1.1873258215479385</v>
      </c>
      <c r="H242" s="64">
        <f t="shared" si="25"/>
        <v>0.28937680718194519</v>
      </c>
      <c r="I242" s="73">
        <f>SUM(Table26[[#This Row],[Adjusted FLE]:[Cost/Item]])</f>
        <v>5.2204643026903188</v>
      </c>
      <c r="J242" s="129">
        <f>Table26[[#This Row],[Coefficient]]/$I$328*$H$2</f>
        <v>1476.4941901868915</v>
      </c>
      <c r="K242"/>
    </row>
    <row r="243" spans="1:11" x14ac:dyDescent="0.25">
      <c r="B243" s="63" t="s">
        <v>73</v>
      </c>
      <c r="C243" s="64">
        <f t="shared" si="20"/>
        <v>0.77185017026106684</v>
      </c>
      <c r="D243" s="64">
        <f t="shared" si="21"/>
        <v>0.52556053811659187</v>
      </c>
      <c r="E243" s="64">
        <f t="shared" si="22"/>
        <v>0.73499558028225864</v>
      </c>
      <c r="F243" s="74">
        <f t="shared" si="23"/>
        <v>0.86455331412103742</v>
      </c>
      <c r="G243" s="64">
        <f t="shared" si="24"/>
        <v>0.88633840609630021</v>
      </c>
      <c r="H243" s="64">
        <f t="shared" si="25"/>
        <v>0.34998792327465905</v>
      </c>
      <c r="I243" s="73">
        <f>SUM(Table26[[#This Row],[Adjusted FLE]:[Cost/Item]])</f>
        <v>4.1332859321519138</v>
      </c>
      <c r="J243" s="129">
        <f>Table26[[#This Row],[Coefficient]]/$I$328*$H$2</f>
        <v>1169.0095576476792</v>
      </c>
      <c r="K243"/>
    </row>
    <row r="244" spans="1:11" x14ac:dyDescent="0.25">
      <c r="B244" s="63" t="s">
        <v>67</v>
      </c>
      <c r="C244" s="64">
        <f t="shared" si="20"/>
        <v>0.55240257283390082</v>
      </c>
      <c r="D244" s="64">
        <f t="shared" si="21"/>
        <v>0.52556053811659187</v>
      </c>
      <c r="E244" s="64">
        <f t="shared" si="22"/>
        <v>0.68154135626173074</v>
      </c>
      <c r="F244" s="74">
        <f t="shared" si="23"/>
        <v>0.86455331412103742</v>
      </c>
      <c r="G244" s="64">
        <f t="shared" si="24"/>
        <v>0.83020854788706566</v>
      </c>
      <c r="H244" s="64">
        <f t="shared" si="25"/>
        <v>0.47637900226047059</v>
      </c>
      <c r="I244" s="73">
        <f>SUM(Table26[[#This Row],[Adjusted FLE]:[Cost/Item]])</f>
        <v>3.9306453314807972</v>
      </c>
      <c r="J244" s="129">
        <f>Table26[[#This Row],[Coefficient]]/$I$328*$H$2</f>
        <v>1111.6970941886923</v>
      </c>
      <c r="K244"/>
    </row>
    <row r="245" spans="1:11" x14ac:dyDescent="0.25">
      <c r="B245" s="63" t="s">
        <v>68</v>
      </c>
      <c r="C245" s="64">
        <f t="shared" si="20"/>
        <v>0.44646235338630341</v>
      </c>
      <c r="D245" s="64">
        <f t="shared" si="21"/>
        <v>0.52556053811659187</v>
      </c>
      <c r="E245" s="64">
        <f t="shared" si="22"/>
        <v>0.68154135626173074</v>
      </c>
      <c r="F245" s="74">
        <f t="shared" si="23"/>
        <v>0.86455331412103742</v>
      </c>
      <c r="G245" s="64">
        <f t="shared" si="24"/>
        <v>0.83020854788706566</v>
      </c>
      <c r="H245" s="64">
        <f t="shared" si="25"/>
        <v>0.47637900226047059</v>
      </c>
      <c r="I245" s="73">
        <f>SUM(Table26[[#This Row],[Adjusted FLE]:[Cost/Item]])</f>
        <v>3.8247051120331998</v>
      </c>
      <c r="J245" s="129">
        <f>Table26[[#This Row],[Coefficient]]/$I$328*$H$2</f>
        <v>1081.7342193461438</v>
      </c>
      <c r="K245"/>
    </row>
    <row r="246" spans="1:11" x14ac:dyDescent="0.25">
      <c r="B246" s="63" t="s">
        <v>10</v>
      </c>
      <c r="C246" s="64">
        <f t="shared" si="20"/>
        <v>0.67684029091520581</v>
      </c>
      <c r="D246" s="64">
        <f>E84/$E$162/60</f>
        <v>5.4739910313901345E-2</v>
      </c>
      <c r="E246" s="64">
        <f t="shared" si="22"/>
        <v>2.0045334007697959</v>
      </c>
      <c r="F246" s="74">
        <f t="shared" si="23"/>
        <v>0.86455331412103742</v>
      </c>
      <c r="G246" s="64">
        <f t="shared" si="24"/>
        <v>0.81451348898703002</v>
      </c>
      <c r="H246" s="64">
        <f t="shared" si="25"/>
        <v>1.0873445554297947</v>
      </c>
      <c r="I246" s="73">
        <f>SUM(Table26[[#This Row],[Adjusted FLE]:[Cost/Item]])</f>
        <v>5.502524960536765</v>
      </c>
      <c r="J246" s="129">
        <f>Table26[[#This Row],[Coefficient]]/$I$328*$H$2</f>
        <v>1556.2688804143393</v>
      </c>
      <c r="K246"/>
    </row>
    <row r="247" spans="1:11" x14ac:dyDescent="0.25">
      <c r="B247" s="63" t="s">
        <v>9</v>
      </c>
      <c r="C247" s="64">
        <f t="shared" si="20"/>
        <v>0.67780119993513877</v>
      </c>
      <c r="D247" s="64">
        <f t="shared" si="21"/>
        <v>0.52556053811659187</v>
      </c>
      <c r="E247" s="64">
        <f t="shared" si="22"/>
        <v>1.7232305468617681</v>
      </c>
      <c r="F247" s="74">
        <f t="shared" si="23"/>
        <v>1.7291066282420748</v>
      </c>
      <c r="G247" s="64">
        <f t="shared" si="24"/>
        <v>0.78216598605465593</v>
      </c>
      <c r="H247" s="64">
        <f t="shared" si="25"/>
        <v>0.60905917241024732</v>
      </c>
      <c r="I247" s="73">
        <f>SUM(Table26[[#This Row],[Adjusted FLE]:[Cost/Item]])</f>
        <v>6.0469240716204764</v>
      </c>
      <c r="J247" s="129">
        <f>Table26[[#This Row],[Coefficient]]/$I$328*$H$2</f>
        <v>1710.240266492734</v>
      </c>
      <c r="K247"/>
    </row>
    <row r="248" spans="1:11" x14ac:dyDescent="0.25">
      <c r="A248" s="63" t="s">
        <v>153</v>
      </c>
      <c r="C248" s="64"/>
      <c r="D248" s="64"/>
      <c r="E248" s="64"/>
      <c r="F248" s="74"/>
      <c r="G248" s="64"/>
      <c r="H248" s="64"/>
      <c r="I248" s="73"/>
      <c r="J248" s="129">
        <f>SUBTOTAL(109,J239:J247)</f>
        <v>11063.510938920535</v>
      </c>
      <c r="K248"/>
    </row>
    <row r="249" spans="1:11" x14ac:dyDescent="0.25">
      <c r="A249" s="63" t="s">
        <v>75</v>
      </c>
      <c r="C249" s="64"/>
      <c r="D249" s="64"/>
      <c r="E249" s="64"/>
      <c r="F249" s="74"/>
      <c r="G249" s="64"/>
      <c r="H249" s="64"/>
      <c r="I249" s="73"/>
      <c r="J249" s="129"/>
      <c r="K249"/>
    </row>
    <row r="250" spans="1:11" x14ac:dyDescent="0.25">
      <c r="B250" s="63" t="s">
        <v>76</v>
      </c>
      <c r="C250" s="64">
        <f t="shared" si="20"/>
        <v>0.31782065834279227</v>
      </c>
      <c r="D250" s="64">
        <f t="shared" si="21"/>
        <v>0.29955156950672646</v>
      </c>
      <c r="E250" s="64">
        <f t="shared" si="22"/>
        <v>0.1670444500641497</v>
      </c>
      <c r="F250" s="74">
        <f t="shared" si="23"/>
        <v>0.86455331412103742</v>
      </c>
      <c r="G250" s="64">
        <f t="shared" ref="G250:G266" si="26">H88/$H$162*120</f>
        <v>0.31673684255393658</v>
      </c>
      <c r="H250" s="64">
        <f t="shared" ref="H250:H266" si="27">J88/$J$162</f>
        <v>0.79708989593954627</v>
      </c>
      <c r="I250" s="73">
        <f>SUM(Table26[[#This Row],[Adjusted FLE]:[Cost/Item]])</f>
        <v>2.7627967305281889</v>
      </c>
      <c r="J250" s="129">
        <f>Table26[[#This Row],[Coefficient]]/$I$328*$H$2</f>
        <v>781.39665071361628</v>
      </c>
      <c r="K250"/>
    </row>
    <row r="251" spans="1:11" x14ac:dyDescent="0.25">
      <c r="B251" s="63" t="s">
        <v>77</v>
      </c>
      <c r="C251" s="64">
        <f t="shared" si="20"/>
        <v>0.47673098751418841</v>
      </c>
      <c r="D251" s="64">
        <f t="shared" si="21"/>
        <v>0.29955156950672646</v>
      </c>
      <c r="E251" s="64">
        <f t="shared" si="22"/>
        <v>0.40090668015395925</v>
      </c>
      <c r="F251" s="74">
        <f t="shared" si="23"/>
        <v>1.0374639769452449</v>
      </c>
      <c r="G251" s="64">
        <f t="shared" si="26"/>
        <v>0.49848385370624104</v>
      </c>
      <c r="H251" s="64">
        <f t="shared" si="27"/>
        <v>0.73546990480594621</v>
      </c>
      <c r="I251" s="73">
        <f>SUM(Table26[[#This Row],[Adjusted FLE]:[Cost/Item]])</f>
        <v>3.4486069726323065</v>
      </c>
      <c r="J251" s="129">
        <f>Table26[[#This Row],[Coefficient]]/$I$328*$H$2</f>
        <v>975.3630834532413</v>
      </c>
      <c r="K251"/>
    </row>
    <row r="252" spans="1:11" x14ac:dyDescent="0.25">
      <c r="B252" s="63" t="s">
        <v>78</v>
      </c>
      <c r="C252" s="64">
        <f t="shared" si="20"/>
        <v>0.10594021944759741</v>
      </c>
      <c r="D252" s="64">
        <f t="shared" si="21"/>
        <v>0.29955156950672646</v>
      </c>
      <c r="E252" s="64">
        <f t="shared" si="22"/>
        <v>0.36749779014112932</v>
      </c>
      <c r="F252" s="74">
        <f t="shared" si="23"/>
        <v>0.86455331412103742</v>
      </c>
      <c r="G252" s="64">
        <f t="shared" si="26"/>
        <v>0.46212340957783515</v>
      </c>
      <c r="H252" s="64">
        <f t="shared" si="27"/>
        <v>0.64773708306863276</v>
      </c>
      <c r="I252" s="73">
        <f>SUM(Table26[[#This Row],[Adjusted FLE]:[Cost/Item]])</f>
        <v>2.7474033858629583</v>
      </c>
      <c r="J252" s="129">
        <f>Table26[[#This Row],[Coefficient]]/$I$328*$H$2</f>
        <v>777.04297972805955</v>
      </c>
      <c r="K252"/>
    </row>
    <row r="253" spans="1:11" x14ac:dyDescent="0.25">
      <c r="B253" s="63" t="s">
        <v>79</v>
      </c>
      <c r="C253" s="64">
        <f t="shared" si="20"/>
        <v>0.4388951948543322</v>
      </c>
      <c r="D253" s="64">
        <f t="shared" si="21"/>
        <v>0.29955156950672646</v>
      </c>
      <c r="E253" s="64">
        <f t="shared" si="22"/>
        <v>0.50113335019244898</v>
      </c>
      <c r="F253" s="74">
        <f t="shared" si="23"/>
        <v>1.0374639769452449</v>
      </c>
      <c r="G253" s="64">
        <f t="shared" si="26"/>
        <v>0.59648963664790355</v>
      </c>
      <c r="H253" s="64">
        <f t="shared" si="27"/>
        <v>1.3934660678357971</v>
      </c>
      <c r="I253" s="73">
        <f>SUM(Table26[[#This Row],[Adjusted FLE]:[Cost/Item]])</f>
        <v>4.2669997959824535</v>
      </c>
      <c r="J253" s="129">
        <f>Table26[[#This Row],[Coefficient]]/$I$328*$H$2</f>
        <v>1206.8276005737637</v>
      </c>
      <c r="K253"/>
    </row>
    <row r="254" spans="1:11" x14ac:dyDescent="0.25">
      <c r="B254" s="63" t="s">
        <v>80</v>
      </c>
      <c r="C254" s="64">
        <f t="shared" si="20"/>
        <v>9.8373060915626198E-2</v>
      </c>
      <c r="D254" s="64">
        <f t="shared" si="21"/>
        <v>0.29955156950672646</v>
      </c>
      <c r="E254" s="64">
        <f t="shared" si="22"/>
        <v>0.43431557016678918</v>
      </c>
      <c r="F254" s="74">
        <f t="shared" si="23"/>
        <v>0.86455331412103742</v>
      </c>
      <c r="G254" s="64">
        <f t="shared" si="26"/>
        <v>0.51337043535483318</v>
      </c>
      <c r="H254" s="64">
        <f t="shared" si="27"/>
        <v>1.0279126439303243</v>
      </c>
      <c r="I254" s="73">
        <f>SUM(Table26[[#This Row],[Adjusted FLE]:[Cost/Item]])</f>
        <v>3.2380765939953369</v>
      </c>
      <c r="J254" s="129">
        <f>Table26[[#This Row],[Coefficient]]/$I$328*$H$2</f>
        <v>915.81916879508731</v>
      </c>
      <c r="K254"/>
    </row>
    <row r="255" spans="1:11" x14ac:dyDescent="0.25">
      <c r="B255" s="63" t="s">
        <v>81</v>
      </c>
      <c r="C255" s="64">
        <f t="shared" si="20"/>
        <v>0.1362088535754824</v>
      </c>
      <c r="D255" s="64">
        <f t="shared" si="21"/>
        <v>0.29955156950672646</v>
      </c>
      <c r="E255" s="64">
        <f t="shared" si="22"/>
        <v>8.3522225032074848E-2</v>
      </c>
      <c r="F255" s="74">
        <f t="shared" si="23"/>
        <v>1.2103746397694524</v>
      </c>
      <c r="G255" s="64">
        <f t="shared" si="26"/>
        <v>9.6849012680751842E-2</v>
      </c>
      <c r="H255" s="64">
        <f t="shared" si="27"/>
        <v>0.54302371518861348</v>
      </c>
      <c r="I255" s="73">
        <f>SUM(Table26[[#This Row],[Adjusted FLE]:[Cost/Item]])</f>
        <v>2.3695300157531012</v>
      </c>
      <c r="J255" s="129">
        <f>Table26[[#This Row],[Coefficient]]/$I$328*$H$2</f>
        <v>670.16975864195399</v>
      </c>
      <c r="K255"/>
    </row>
    <row r="256" spans="1:11" x14ac:dyDescent="0.25">
      <c r="B256" s="63" t="s">
        <v>82</v>
      </c>
      <c r="C256" s="64">
        <f t="shared" si="20"/>
        <v>0.22701475595913731</v>
      </c>
      <c r="D256" s="64">
        <f t="shared" si="21"/>
        <v>0.29955156950672646</v>
      </c>
      <c r="E256" s="64">
        <f t="shared" si="22"/>
        <v>0.25390756409750753</v>
      </c>
      <c r="F256" s="74">
        <f t="shared" si="23"/>
        <v>1.7291066282420748</v>
      </c>
      <c r="G256" s="64">
        <f t="shared" si="26"/>
        <v>0.31673684255393658</v>
      </c>
      <c r="H256" s="64">
        <f t="shared" si="27"/>
        <v>0.79708989593954627</v>
      </c>
      <c r="I256" s="73">
        <f>SUM(Table26[[#This Row],[Adjusted FLE]:[Cost/Item]])</f>
        <v>3.623407256298929</v>
      </c>
      <c r="J256" s="129">
        <f>Table26[[#This Row],[Coefficient]]/$I$328*$H$2</f>
        <v>1024.8015219353863</v>
      </c>
      <c r="K256"/>
    </row>
    <row r="257" spans="1:11" x14ac:dyDescent="0.25">
      <c r="B257" s="63" t="s">
        <v>83</v>
      </c>
      <c r="C257" s="64">
        <f t="shared" si="20"/>
        <v>0.31782065834279227</v>
      </c>
      <c r="D257" s="64">
        <f t="shared" si="21"/>
        <v>0.29955156950672646</v>
      </c>
      <c r="E257" s="64">
        <f t="shared" si="22"/>
        <v>8.3522225032074848E-2</v>
      </c>
      <c r="F257" s="74">
        <f t="shared" si="23"/>
        <v>1.2103746397694524</v>
      </c>
      <c r="G257" s="64">
        <f t="shared" si="26"/>
        <v>5.1436315456056002E-2</v>
      </c>
      <c r="H257" s="64">
        <f t="shared" si="27"/>
        <v>0.72096568830905172</v>
      </c>
      <c r="I257" s="73">
        <f>SUM(Table26[[#This Row],[Adjusted FLE]:[Cost/Item]])</f>
        <v>2.6836710964161536</v>
      </c>
      <c r="J257" s="129">
        <f>Table26[[#This Row],[Coefficient]]/$I$328*$H$2</f>
        <v>759.01769507147787</v>
      </c>
      <c r="K257"/>
    </row>
    <row r="258" spans="1:11" x14ac:dyDescent="0.25">
      <c r="B258" s="63" t="s">
        <v>84</v>
      </c>
      <c r="C258" s="64">
        <f t="shared" si="20"/>
        <v>0.26485054861899354</v>
      </c>
      <c r="D258" s="64">
        <f t="shared" si="21"/>
        <v>0.29955156950672646</v>
      </c>
      <c r="E258" s="64">
        <f t="shared" si="22"/>
        <v>0.25390756409750753</v>
      </c>
      <c r="F258" s="74">
        <f t="shared" si="23"/>
        <v>1.7291066282420748</v>
      </c>
      <c r="G258" s="64">
        <f t="shared" si="26"/>
        <v>0.31673684255393658</v>
      </c>
      <c r="H258" s="64">
        <f t="shared" si="27"/>
        <v>0.79708989593954627</v>
      </c>
      <c r="I258" s="73">
        <f>SUM(Table26[[#This Row],[Adjusted FLE]:[Cost/Item]])</f>
        <v>3.6612430489587853</v>
      </c>
      <c r="J258" s="129">
        <f>Table26[[#This Row],[Coefficient]]/$I$328*$H$2</f>
        <v>1035.5025486648678</v>
      </c>
      <c r="K258"/>
    </row>
    <row r="259" spans="1:11" x14ac:dyDescent="0.25">
      <c r="B259" s="63" t="s">
        <v>85</v>
      </c>
      <c r="C259" s="64">
        <f t="shared" si="20"/>
        <v>0.12864169504351117</v>
      </c>
      <c r="D259" s="64">
        <f t="shared" si="21"/>
        <v>0.29955156950672646</v>
      </c>
      <c r="E259" s="64">
        <f t="shared" si="22"/>
        <v>0.25390756409750753</v>
      </c>
      <c r="F259" s="74">
        <f t="shared" si="23"/>
        <v>1.7291066282420748</v>
      </c>
      <c r="G259" s="64">
        <f t="shared" si="26"/>
        <v>0.31673684255393658</v>
      </c>
      <c r="H259" s="64">
        <f t="shared" si="27"/>
        <v>0.79708989593954627</v>
      </c>
      <c r="I259" s="73">
        <f>SUM(Table26[[#This Row],[Adjusted FLE]:[Cost/Item]])</f>
        <v>3.5250341953833031</v>
      </c>
      <c r="J259" s="129">
        <f>Table26[[#This Row],[Coefficient]]/$I$328*$H$2</f>
        <v>996.97885243873407</v>
      </c>
      <c r="K259"/>
    </row>
    <row r="260" spans="1:11" x14ac:dyDescent="0.25">
      <c r="B260" s="63" t="s">
        <v>86</v>
      </c>
      <c r="C260" s="64">
        <f t="shared" si="20"/>
        <v>0.84752175558077925</v>
      </c>
      <c r="D260" s="64">
        <f t="shared" si="21"/>
        <v>0.29955156950672646</v>
      </c>
      <c r="E260" s="64">
        <f t="shared" si="22"/>
        <v>0.25390756409750753</v>
      </c>
      <c r="F260" s="74">
        <f t="shared" si="23"/>
        <v>1.7291066282420748</v>
      </c>
      <c r="G260" s="64">
        <f t="shared" si="26"/>
        <v>0.31673684255393658</v>
      </c>
      <c r="H260" s="64">
        <f t="shared" si="27"/>
        <v>0.79708989593954627</v>
      </c>
      <c r="I260" s="73">
        <f>SUM(Table26[[#This Row],[Adjusted FLE]:[Cost/Item]])</f>
        <v>4.2439142559205703</v>
      </c>
      <c r="J260" s="129">
        <f>Table26[[#This Row],[Coefficient]]/$I$328*$H$2</f>
        <v>1200.2983602988841</v>
      </c>
      <c r="K260"/>
    </row>
    <row r="261" spans="1:11" x14ac:dyDescent="0.25">
      <c r="B261" s="63" t="s">
        <v>87</v>
      </c>
      <c r="C261" s="64">
        <f t="shared" si="20"/>
        <v>0.90805902383654924</v>
      </c>
      <c r="D261" s="64">
        <f t="shared" si="21"/>
        <v>0.29955156950672646</v>
      </c>
      <c r="E261" s="64">
        <f t="shared" si="22"/>
        <v>0.1670444500641497</v>
      </c>
      <c r="F261" s="74">
        <f t="shared" si="23"/>
        <v>1.2103746397694524</v>
      </c>
      <c r="G261" s="64">
        <f t="shared" si="26"/>
        <v>0.14526931258381537</v>
      </c>
      <c r="H261" s="64">
        <f t="shared" si="27"/>
        <v>1.0181252458064038</v>
      </c>
      <c r="I261" s="73">
        <f>SUM(Table26[[#This Row],[Adjusted FLE]:[Cost/Item]])</f>
        <v>3.748424241567097</v>
      </c>
      <c r="J261" s="129">
        <f>Table26[[#This Row],[Coefficient]]/$I$328*$H$2</f>
        <v>1060.1598429046542</v>
      </c>
      <c r="K261"/>
    </row>
    <row r="262" spans="1:11" x14ac:dyDescent="0.25">
      <c r="B262" s="63" t="s">
        <v>88</v>
      </c>
      <c r="C262" s="64">
        <f t="shared" si="20"/>
        <v>0.32538781687476354</v>
      </c>
      <c r="D262" s="64">
        <f t="shared" si="21"/>
        <v>0.29955156950672646</v>
      </c>
      <c r="E262" s="64">
        <f t="shared" si="22"/>
        <v>0.1670444500641497</v>
      </c>
      <c r="F262" s="74">
        <f t="shared" si="23"/>
        <v>0.86455331412103742</v>
      </c>
      <c r="G262" s="64">
        <f t="shared" si="26"/>
        <v>0.31673684255393658</v>
      </c>
      <c r="H262" s="64">
        <f t="shared" si="27"/>
        <v>0.79708989593954649</v>
      </c>
      <c r="I262" s="73">
        <f>SUM(Table26[[#This Row],[Adjusted FLE]:[Cost/Item]])</f>
        <v>2.7703638890601603</v>
      </c>
      <c r="J262" s="129">
        <f>Table26[[#This Row],[Coefficient]]/$I$328*$H$2</f>
        <v>783.53685605951262</v>
      </c>
      <c r="K262"/>
    </row>
    <row r="263" spans="1:11" x14ac:dyDescent="0.25">
      <c r="B263" s="63" t="s">
        <v>89</v>
      </c>
      <c r="C263" s="64">
        <f t="shared" si="20"/>
        <v>0.1362088535754824</v>
      </c>
      <c r="D263" s="64">
        <f t="shared" si="21"/>
        <v>0.29955156950672646</v>
      </c>
      <c r="E263" s="64">
        <f t="shared" si="22"/>
        <v>0.1670444500641497</v>
      </c>
      <c r="F263" s="74">
        <f t="shared" si="23"/>
        <v>0.86455331412103742</v>
      </c>
      <c r="G263" s="64">
        <f t="shared" si="26"/>
        <v>0.16987276442405669</v>
      </c>
      <c r="H263" s="64">
        <f t="shared" si="27"/>
        <v>0.34020052515073834</v>
      </c>
      <c r="I263" s="73">
        <f>SUM(Table26[[#This Row],[Adjusted FLE]:[Cost/Item]])</f>
        <v>1.977431476842191</v>
      </c>
      <c r="J263" s="129">
        <f>Table26[[#This Row],[Coefficient]]/$I$328*$H$2</f>
        <v>559.27325957301468</v>
      </c>
      <c r="K263"/>
    </row>
    <row r="264" spans="1:11" x14ac:dyDescent="0.25">
      <c r="B264" s="63" t="s">
        <v>90</v>
      </c>
      <c r="C264" s="64">
        <f t="shared" si="20"/>
        <v>7.5671585319712451E-2</v>
      </c>
      <c r="D264" s="64">
        <f t="shared" si="21"/>
        <v>0.29955156950672646</v>
      </c>
      <c r="E264" s="64">
        <f t="shared" si="22"/>
        <v>0.25390756409750753</v>
      </c>
      <c r="F264" s="74">
        <f t="shared" si="23"/>
        <v>1.7291066282420748</v>
      </c>
      <c r="G264" s="64">
        <f t="shared" si="26"/>
        <v>0.31673684255393658</v>
      </c>
      <c r="H264" s="64">
        <f t="shared" si="27"/>
        <v>0.79708989593954649</v>
      </c>
      <c r="I264" s="73">
        <f>SUM(Table26[[#This Row],[Adjusted FLE]:[Cost/Item]])</f>
        <v>3.472064085659504</v>
      </c>
      <c r="J264" s="129">
        <f>Table26[[#This Row],[Coefficient]]/$I$328*$H$2</f>
        <v>981.99741501745973</v>
      </c>
      <c r="K264"/>
    </row>
    <row r="265" spans="1:11" x14ac:dyDescent="0.25">
      <c r="B265" s="63" t="s">
        <v>10</v>
      </c>
      <c r="C265" s="64">
        <f t="shared" si="20"/>
        <v>0.31950224912767478</v>
      </c>
      <c r="D265" s="64">
        <f>E103/$E$162/60</f>
        <v>5.4739910313901345E-2</v>
      </c>
      <c r="E265" s="64">
        <f t="shared" si="22"/>
        <v>1.3363556005131976</v>
      </c>
      <c r="F265" s="74">
        <f t="shared" si="23"/>
        <v>1.3832853025936598</v>
      </c>
      <c r="G265" s="64">
        <f t="shared" si="26"/>
        <v>1.1828543786848549</v>
      </c>
      <c r="H265" s="64">
        <f t="shared" si="27"/>
        <v>2.2106548509535151</v>
      </c>
      <c r="I265" s="73">
        <f>SUM(Table26[[#This Row],[Adjusted FLE]:[Cost/Item]])</f>
        <v>6.4873922921868044</v>
      </c>
      <c r="J265" s="129">
        <f>Table26[[#This Row],[Coefficient]]/$I$328*$H$2</f>
        <v>1834.8170724854481</v>
      </c>
      <c r="K265"/>
    </row>
    <row r="266" spans="1:11" x14ac:dyDescent="0.25">
      <c r="B266" s="63" t="s">
        <v>9</v>
      </c>
      <c r="C266" s="64">
        <f t="shared" si="20"/>
        <v>0.32034304452011608</v>
      </c>
      <c r="D266" s="64">
        <f t="shared" si="21"/>
        <v>0.29955156950672646</v>
      </c>
      <c r="E266" s="64">
        <f t="shared" si="22"/>
        <v>0.93411256475872506</v>
      </c>
      <c r="F266" s="74">
        <f t="shared" si="23"/>
        <v>0.51873198847262247</v>
      </c>
      <c r="G266" s="64">
        <f t="shared" si="26"/>
        <v>0.21316541724330176</v>
      </c>
      <c r="H266" s="64">
        <f t="shared" si="27"/>
        <v>0.74690818936040781</v>
      </c>
      <c r="I266" s="73">
        <f>SUM(Table26[[#This Row],[Adjusted FLE]:[Cost/Item]])</f>
        <v>3.0328127738618993</v>
      </c>
      <c r="J266" s="129">
        <f>Table26[[#This Row],[Coefficient]]/$I$328*$H$2</f>
        <v>857.76478506404578</v>
      </c>
      <c r="K266"/>
    </row>
    <row r="267" spans="1:11" x14ac:dyDescent="0.25">
      <c r="A267" s="63" t="s">
        <v>153</v>
      </c>
      <c r="C267" s="64"/>
      <c r="D267" s="64"/>
      <c r="E267" s="64"/>
      <c r="F267" s="74"/>
      <c r="G267" s="64"/>
      <c r="H267" s="64"/>
      <c r="I267" s="73"/>
      <c r="J267" s="129">
        <f>SUBTOTAL(109,J250:J266)</f>
        <v>16420.767451419204</v>
      </c>
      <c r="K267"/>
    </row>
    <row r="268" spans="1:11" x14ac:dyDescent="0.25">
      <c r="A268" s="63" t="s">
        <v>92</v>
      </c>
      <c r="C268" s="64"/>
      <c r="D268" s="64"/>
      <c r="E268" s="64"/>
      <c r="F268" s="74"/>
      <c r="G268" s="64"/>
      <c r="H268" s="64"/>
      <c r="I268" s="73"/>
      <c r="J268" s="129"/>
      <c r="K268"/>
    </row>
    <row r="269" spans="1:11" x14ac:dyDescent="0.25">
      <c r="B269" s="63" t="s">
        <v>93</v>
      </c>
      <c r="C269" s="64">
        <f t="shared" si="20"/>
        <v>0.58267120696178587</v>
      </c>
      <c r="D269" s="64">
        <f t="shared" si="21"/>
        <v>0.97399103139013454</v>
      </c>
      <c r="E269" s="64">
        <f t="shared" si="22"/>
        <v>0.40090668015395925</v>
      </c>
      <c r="F269" s="74">
        <f t="shared" si="23"/>
        <v>0.86455331412103742</v>
      </c>
      <c r="G269" s="64">
        <f t="shared" ref="G269:G285" si="28">H107/$H$162*120</f>
        <v>0.4639447969341054</v>
      </c>
      <c r="H269" s="64">
        <f t="shared" ref="H269:H285" si="29">J107/$J$162</f>
        <v>1.0838069416500644</v>
      </c>
      <c r="I269" s="73">
        <f>SUM(Table26[[#This Row],[Adjusted FLE]:[Cost/Item]])</f>
        <v>4.3698739712110868</v>
      </c>
      <c r="J269" s="129">
        <f>Table26[[#This Row],[Coefficient]]/$I$328*$H$2</f>
        <v>1235.9233118435577</v>
      </c>
      <c r="K269"/>
    </row>
    <row r="270" spans="1:11" x14ac:dyDescent="0.25">
      <c r="B270" s="63" t="s">
        <v>94</v>
      </c>
      <c r="C270" s="64">
        <f t="shared" si="20"/>
        <v>0.21188043889519481</v>
      </c>
      <c r="D270" s="64">
        <f t="shared" si="21"/>
        <v>0.97399103139013454</v>
      </c>
      <c r="E270" s="64">
        <f t="shared" si="22"/>
        <v>0.46772446017961916</v>
      </c>
      <c r="F270" s="74">
        <f t="shared" si="23"/>
        <v>0.51873198847262247</v>
      </c>
      <c r="G270" s="64">
        <f t="shared" si="28"/>
        <v>0.2135482030387304</v>
      </c>
      <c r="H270" s="64">
        <f t="shared" si="29"/>
        <v>0.99772500634329186</v>
      </c>
      <c r="I270" s="73">
        <f>SUM(Table26[[#This Row],[Adjusted FLE]:[Cost/Item]])</f>
        <v>3.3836011283195937</v>
      </c>
      <c r="J270" s="129">
        <f>Table26[[#This Row],[Coefficient]]/$I$328*$H$2</f>
        <v>956.97760164725503</v>
      </c>
      <c r="K270"/>
    </row>
    <row r="271" spans="1:11" x14ac:dyDescent="0.25">
      <c r="B271" s="63" t="s">
        <v>104</v>
      </c>
      <c r="C271" s="64">
        <f t="shared" si="20"/>
        <v>0.55996973136587214</v>
      </c>
      <c r="D271" s="64">
        <f t="shared" si="21"/>
        <v>0.97399103139013454</v>
      </c>
      <c r="E271" s="64">
        <f t="shared" si="22"/>
        <v>0.23386223008980958</v>
      </c>
      <c r="F271" s="74">
        <f t="shared" si="23"/>
        <v>1.0374639769452449</v>
      </c>
      <c r="G271" s="64">
        <f t="shared" si="28"/>
        <v>0.27870591700784292</v>
      </c>
      <c r="H271" s="64">
        <f t="shared" si="29"/>
        <v>0.78134096348311688</v>
      </c>
      <c r="I271" s="73">
        <f>SUM(Table26[[#This Row],[Adjusted FLE]:[Cost/Item]])</f>
        <v>3.8653338502820214</v>
      </c>
      <c r="J271" s="129">
        <f>Table26[[#This Row],[Coefficient]]/$I$328*$H$2</f>
        <v>1093.2251696717872</v>
      </c>
      <c r="K271"/>
    </row>
    <row r="272" spans="1:11" x14ac:dyDescent="0.25">
      <c r="B272" s="63" t="s">
        <v>95</v>
      </c>
      <c r="C272" s="64">
        <f t="shared" si="20"/>
        <v>0.31782065834279227</v>
      </c>
      <c r="D272" s="64">
        <f t="shared" si="21"/>
        <v>0.97399103139013454</v>
      </c>
      <c r="E272" s="64">
        <f t="shared" si="22"/>
        <v>0.20045334007697962</v>
      </c>
      <c r="F272" s="74">
        <f t="shared" si="23"/>
        <v>1.3832853025936598</v>
      </c>
      <c r="G272" s="64">
        <f t="shared" si="28"/>
        <v>0.30280284368838251</v>
      </c>
      <c r="H272" s="64">
        <f t="shared" si="29"/>
        <v>0.91398333861387937</v>
      </c>
      <c r="I272" s="73">
        <f>SUM(Table26[[#This Row],[Adjusted FLE]:[Cost/Item]])</f>
        <v>4.0923365147058286</v>
      </c>
      <c r="J272" s="129">
        <f>Table26[[#This Row],[Coefficient]]/$I$328*$H$2</f>
        <v>1157.4279102222724</v>
      </c>
      <c r="K272"/>
    </row>
    <row r="273" spans="1:11" x14ac:dyDescent="0.25">
      <c r="B273" s="63" t="s">
        <v>96</v>
      </c>
      <c r="C273" s="64">
        <f t="shared" si="20"/>
        <v>0.2345819144911086</v>
      </c>
      <c r="D273" s="64">
        <f t="shared" si="21"/>
        <v>0.97399103139013454</v>
      </c>
      <c r="E273" s="64">
        <f t="shared" si="22"/>
        <v>0.26727112010263948</v>
      </c>
      <c r="F273" s="74">
        <f t="shared" si="23"/>
        <v>0.86455331412103742</v>
      </c>
      <c r="G273" s="64">
        <f t="shared" si="28"/>
        <v>0.30676285388156654</v>
      </c>
      <c r="H273" s="64">
        <f t="shared" si="29"/>
        <v>0.95550948190517593</v>
      </c>
      <c r="I273" s="73">
        <f>SUM(Table26[[#This Row],[Adjusted FLE]:[Cost/Item]])</f>
        <v>3.6026697158916625</v>
      </c>
      <c r="J273" s="129">
        <f>Table26[[#This Row],[Coefficient]]/$I$328*$H$2</f>
        <v>1018.936362027231</v>
      </c>
      <c r="K273"/>
    </row>
    <row r="274" spans="1:11" x14ac:dyDescent="0.25">
      <c r="B274" s="63" t="s">
        <v>97</v>
      </c>
      <c r="C274" s="64">
        <f t="shared" si="20"/>
        <v>0.31025349981082101</v>
      </c>
      <c r="D274" s="64">
        <f t="shared" si="21"/>
        <v>0.97399103139013454</v>
      </c>
      <c r="E274" s="64">
        <f t="shared" si="22"/>
        <v>0.10022667003848981</v>
      </c>
      <c r="F274" s="74">
        <f t="shared" si="23"/>
        <v>0.86455331412103742</v>
      </c>
      <c r="G274" s="64">
        <f t="shared" si="28"/>
        <v>0.10953983405226975</v>
      </c>
      <c r="H274" s="64">
        <f t="shared" si="29"/>
        <v>0.76766219020149262</v>
      </c>
      <c r="I274" s="73">
        <f>SUM(Table26[[#This Row],[Adjusted FLE]:[Cost/Item]])</f>
        <v>3.1262265396142448</v>
      </c>
      <c r="J274" s="129">
        <f>Table26[[#This Row],[Coefficient]]/$I$328*$H$2</f>
        <v>884.18482635151122</v>
      </c>
      <c r="K274"/>
    </row>
    <row r="275" spans="1:11" x14ac:dyDescent="0.25">
      <c r="B275" s="63" t="s">
        <v>98</v>
      </c>
      <c r="C275" s="64">
        <f t="shared" si="20"/>
        <v>0.40862656072644721</v>
      </c>
      <c r="D275" s="64">
        <f t="shared" si="21"/>
        <v>0.97399103139013454</v>
      </c>
      <c r="E275" s="64">
        <f t="shared" si="22"/>
        <v>0.26488477081600881</v>
      </c>
      <c r="F275" s="74">
        <f t="shared" si="23"/>
        <v>0.86455331412103742</v>
      </c>
      <c r="G275" s="64">
        <f t="shared" si="28"/>
        <v>0.30280284368838251</v>
      </c>
      <c r="H275" s="64">
        <f t="shared" si="29"/>
        <v>0.91398333861387937</v>
      </c>
      <c r="I275" s="73">
        <f>SUM(Table26[[#This Row],[Adjusted FLE]:[Cost/Item]])</f>
        <v>3.7288418593558896</v>
      </c>
      <c r="J275" s="129">
        <f>Table26[[#This Row],[Coefficient]]/$I$328*$H$2</f>
        <v>1054.621394236407</v>
      </c>
      <c r="K275"/>
    </row>
    <row r="276" spans="1:11" x14ac:dyDescent="0.25">
      <c r="B276" s="63" t="s">
        <v>99</v>
      </c>
      <c r="C276" s="64">
        <f t="shared" si="20"/>
        <v>0.31782065834279227</v>
      </c>
      <c r="D276" s="64">
        <f t="shared" si="21"/>
        <v>0.97399103139013454</v>
      </c>
      <c r="E276" s="64">
        <f t="shared" si="22"/>
        <v>0.56795113021810895</v>
      </c>
      <c r="F276" s="74">
        <f t="shared" si="23"/>
        <v>0.86455331412103742</v>
      </c>
      <c r="G276" s="64">
        <f t="shared" si="28"/>
        <v>0.6881058413120269</v>
      </c>
      <c r="H276" s="64">
        <f t="shared" si="29"/>
        <v>0.9644714368138263</v>
      </c>
      <c r="I276" s="73">
        <f>SUM(Table26[[#This Row],[Adjusted FLE]:[Cost/Item]])</f>
        <v>4.3768934121979264</v>
      </c>
      <c r="J276" s="129">
        <f>Table26[[#This Row],[Coefficient]]/$I$328*$H$2</f>
        <v>1237.908607256858</v>
      </c>
      <c r="K276"/>
    </row>
    <row r="277" spans="1:11" x14ac:dyDescent="0.25">
      <c r="B277" s="63" t="s">
        <v>100</v>
      </c>
      <c r="C277" s="64">
        <f t="shared" si="20"/>
        <v>0.1816118047673099</v>
      </c>
      <c r="D277" s="64">
        <f t="shared" si="21"/>
        <v>0.97399103139013454</v>
      </c>
      <c r="E277" s="64">
        <f t="shared" si="22"/>
        <v>0.13363556005131974</v>
      </c>
      <c r="F277" s="74">
        <f t="shared" si="23"/>
        <v>0.86455331412103742</v>
      </c>
      <c r="G277" s="64">
        <f t="shared" si="28"/>
        <v>0.30280284368838251</v>
      </c>
      <c r="H277" s="64">
        <f t="shared" si="29"/>
        <v>0.91398333861387926</v>
      </c>
      <c r="I277" s="73">
        <f>SUM(Table26[[#This Row],[Adjusted FLE]:[Cost/Item]])</f>
        <v>3.3705778926320633</v>
      </c>
      <c r="J277" s="129">
        <f>Table26[[#This Row],[Coefficient]]/$I$328*$H$2</f>
        <v>953.29426416706872</v>
      </c>
      <c r="K277"/>
    </row>
    <row r="278" spans="1:11" x14ac:dyDescent="0.25">
      <c r="B278" s="63" t="s">
        <v>101</v>
      </c>
      <c r="C278" s="64">
        <f t="shared" si="20"/>
        <v>0.2043132803632236</v>
      </c>
      <c r="D278" s="64">
        <f t="shared" si="21"/>
        <v>0.97399103139013454</v>
      </c>
      <c r="E278" s="64">
        <f t="shared" si="22"/>
        <v>0.1670444500641497</v>
      </c>
      <c r="F278" s="74">
        <f t="shared" si="23"/>
        <v>0.86455331412103742</v>
      </c>
      <c r="G278" s="64">
        <f t="shared" si="28"/>
        <v>0.20659496216132928</v>
      </c>
      <c r="H278" s="64">
        <f t="shared" si="29"/>
        <v>1.4478273995843207</v>
      </c>
      <c r="I278" s="73">
        <f>SUM(Table26[[#This Row],[Adjusted FLE]:[Cost/Item]])</f>
        <v>3.8643244376841954</v>
      </c>
      <c r="J278" s="129">
        <f>Table26[[#This Row],[Coefficient]]/$I$328*$H$2</f>
        <v>1092.9396793878248</v>
      </c>
      <c r="K278"/>
    </row>
    <row r="279" spans="1:11" x14ac:dyDescent="0.25">
      <c r="B279" s="63" t="s">
        <v>102</v>
      </c>
      <c r="C279" s="64">
        <f t="shared" si="20"/>
        <v>0.2194475974271661</v>
      </c>
      <c r="D279" s="64">
        <f t="shared" si="21"/>
        <v>0.97399103139013454</v>
      </c>
      <c r="E279" s="64">
        <f t="shared" si="22"/>
        <v>0.33408890012829939</v>
      </c>
      <c r="F279" s="74">
        <f t="shared" si="23"/>
        <v>0.86455331412103742</v>
      </c>
      <c r="G279" s="64">
        <f t="shared" si="28"/>
        <v>0.38364390864034442</v>
      </c>
      <c r="H279" s="64">
        <f t="shared" si="29"/>
        <v>0.76825179249811448</v>
      </c>
      <c r="I279" s="73">
        <f>SUM(Table26[[#This Row],[Adjusted FLE]:[Cost/Item]])</f>
        <v>3.5439765442050963</v>
      </c>
      <c r="J279" s="129">
        <f>Table26[[#This Row],[Coefficient]]/$I$328*$H$2</f>
        <v>1002.3362816561809</v>
      </c>
      <c r="K279"/>
    </row>
    <row r="280" spans="1:11" x14ac:dyDescent="0.25">
      <c r="B280" s="63" t="s">
        <v>103</v>
      </c>
      <c r="C280" s="64">
        <f t="shared" si="20"/>
        <v>0.47673098751418841</v>
      </c>
      <c r="D280" s="64">
        <f t="shared" si="21"/>
        <v>0.97399103139013454</v>
      </c>
      <c r="E280" s="64">
        <f t="shared" si="22"/>
        <v>0.23386223008980958</v>
      </c>
      <c r="F280" s="74">
        <f t="shared" si="23"/>
        <v>0.86455331412103742</v>
      </c>
      <c r="G280" s="64">
        <f t="shared" si="28"/>
        <v>0.28227718228607246</v>
      </c>
      <c r="H280" s="64">
        <f t="shared" si="29"/>
        <v>0.87921494472232409</v>
      </c>
      <c r="I280" s="73">
        <f>SUM(Table26[[#This Row],[Adjusted FLE]:[Cost/Item]])</f>
        <v>3.7106296901235667</v>
      </c>
      <c r="J280" s="129">
        <f>Table26[[#This Row],[Coefficient]]/$I$328*$H$2</f>
        <v>1049.4704803515315</v>
      </c>
      <c r="K280"/>
    </row>
    <row r="281" spans="1:11" x14ac:dyDescent="0.25">
      <c r="B281" s="63" t="s">
        <v>105</v>
      </c>
      <c r="C281" s="64">
        <f t="shared" si="20"/>
        <v>0.2345819144911086</v>
      </c>
      <c r="D281" s="64">
        <f t="shared" si="21"/>
        <v>0.97399103139013454</v>
      </c>
      <c r="E281" s="64">
        <f t="shared" si="22"/>
        <v>0.23386223008980958</v>
      </c>
      <c r="F281" s="74">
        <f t="shared" si="23"/>
        <v>0.86455331412103742</v>
      </c>
      <c r="G281" s="64">
        <f t="shared" si="28"/>
        <v>0.26416426321886793</v>
      </c>
      <c r="H281" s="64">
        <f t="shared" si="29"/>
        <v>0.82284896516528672</v>
      </c>
      <c r="I281" s="73">
        <f>SUM(Table26[[#This Row],[Adjusted FLE]:[Cost/Item]])</f>
        <v>3.394001718476245</v>
      </c>
      <c r="J281" s="129">
        <f>Table26[[#This Row],[Coefficient]]/$I$328*$H$2</f>
        <v>959.91918117934688</v>
      </c>
      <c r="K281"/>
    </row>
    <row r="282" spans="1:11" x14ac:dyDescent="0.25">
      <c r="B282" s="63" t="s">
        <v>106</v>
      </c>
      <c r="C282" s="64">
        <f t="shared" si="20"/>
        <v>0.1816118047673099</v>
      </c>
      <c r="D282" s="64">
        <f t="shared" si="21"/>
        <v>0.97399103139013454</v>
      </c>
      <c r="E282" s="64">
        <f t="shared" si="22"/>
        <v>0.23386223008980958</v>
      </c>
      <c r="F282" s="74">
        <f t="shared" si="23"/>
        <v>0.86455331412103742</v>
      </c>
      <c r="G282" s="64">
        <f t="shared" si="28"/>
        <v>0.29391218789217738</v>
      </c>
      <c r="H282" s="64">
        <f t="shared" si="29"/>
        <v>0.6866508346456669</v>
      </c>
      <c r="I282" s="73">
        <f>SUM(Table26[[#This Row],[Adjusted FLE]:[Cost/Item]])</f>
        <v>3.2345814029061359</v>
      </c>
      <c r="J282" s="129">
        <f>Table26[[#This Row],[Coefficient]]/$I$328*$H$2</f>
        <v>914.83063041275625</v>
      </c>
      <c r="K282"/>
    </row>
    <row r="283" spans="1:11" x14ac:dyDescent="0.25">
      <c r="B283" s="63" t="s">
        <v>107</v>
      </c>
      <c r="C283" s="64">
        <f t="shared" si="20"/>
        <v>0.31025349981082101</v>
      </c>
      <c r="D283" s="64">
        <f t="shared" si="21"/>
        <v>0.97399103139013454</v>
      </c>
      <c r="E283" s="64">
        <f t="shared" si="22"/>
        <v>0.13363556005131974</v>
      </c>
      <c r="F283" s="74">
        <f t="shared" si="23"/>
        <v>0.86455331412103742</v>
      </c>
      <c r="G283" s="64">
        <f t="shared" si="28"/>
        <v>0.14243417383525617</v>
      </c>
      <c r="H283" s="64">
        <f t="shared" si="29"/>
        <v>0.99819668818058926</v>
      </c>
      <c r="I283" s="73">
        <f>SUM(Table26[[#This Row],[Adjusted FLE]:[Cost/Item]])</f>
        <v>3.423064267389158</v>
      </c>
      <c r="J283" s="129">
        <f>Table26[[#This Row],[Coefficient]]/$I$328*$H$2</f>
        <v>968.13888772916948</v>
      </c>
      <c r="K283"/>
    </row>
    <row r="284" spans="1:11" x14ac:dyDescent="0.25">
      <c r="B284" s="63" t="s">
        <v>10</v>
      </c>
      <c r="C284" s="64">
        <f t="shared" si="20"/>
        <v>0.31109429520326226</v>
      </c>
      <c r="D284" s="64">
        <f>E122/$E$162/60</f>
        <v>5.4739910313901345E-2</v>
      </c>
      <c r="E284" s="64">
        <f t="shared" si="22"/>
        <v>2.3386223008980958</v>
      </c>
      <c r="F284" s="74">
        <f t="shared" si="23"/>
        <v>0.86455331412103742</v>
      </c>
      <c r="G284" s="64">
        <f t="shared" si="28"/>
        <v>2.1621256043240602</v>
      </c>
      <c r="H284" s="64">
        <f t="shared" si="29"/>
        <v>0.96211302762733941</v>
      </c>
      <c r="I284" s="73">
        <f>SUM(Table26[[#This Row],[Adjusted FLE]:[Cost/Item]])</f>
        <v>6.6932484524876958</v>
      </c>
      <c r="J284" s="129">
        <f>Table26[[#This Row],[Coefficient]]/$I$328*$H$2</f>
        <v>1893.0389866822011</v>
      </c>
      <c r="K284"/>
    </row>
    <row r="285" spans="1:11" x14ac:dyDescent="0.25">
      <c r="B285" s="63" t="s">
        <v>9</v>
      </c>
      <c r="C285" s="64">
        <f t="shared" si="20"/>
        <v>0.31681170387186275</v>
      </c>
      <c r="D285" s="64">
        <f t="shared" si="21"/>
        <v>0.97399103139013454</v>
      </c>
      <c r="E285" s="64">
        <f t="shared" si="22"/>
        <v>1.8548615735123182</v>
      </c>
      <c r="F285" s="74">
        <f t="shared" si="23"/>
        <v>0.86455331412103742</v>
      </c>
      <c r="G285" s="64">
        <f t="shared" si="28"/>
        <v>0.80532242345943095</v>
      </c>
      <c r="H285" s="64">
        <f t="shared" si="29"/>
        <v>0.72827675678716108</v>
      </c>
      <c r="I285" s="73">
        <f>SUM(Table26[[#This Row],[Adjusted FLE]:[Cost/Item]])</f>
        <v>5.5438168031419446</v>
      </c>
      <c r="J285" s="129">
        <f>Table26[[#This Row],[Coefficient]]/$I$328*$H$2</f>
        <v>1567.94737530937</v>
      </c>
      <c r="K285"/>
    </row>
    <row r="286" spans="1:11" x14ac:dyDescent="0.25">
      <c r="A286" s="63" t="s">
        <v>153</v>
      </c>
      <c r="C286" s="64"/>
      <c r="D286" s="64"/>
      <c r="E286" s="64"/>
      <c r="F286" s="74"/>
      <c r="G286" s="64"/>
      <c r="H286" s="64"/>
      <c r="I286" s="73"/>
      <c r="J286" s="129">
        <f>SUBTOTAL(109,J269:J285)</f>
        <v>19041.120950132328</v>
      </c>
      <c r="K286"/>
    </row>
    <row r="287" spans="1:11" x14ac:dyDescent="0.25">
      <c r="A287" s="63" t="s">
        <v>149</v>
      </c>
      <c r="C287" s="64"/>
      <c r="D287" s="64"/>
      <c r="E287" s="64"/>
      <c r="F287" s="74"/>
      <c r="G287" s="64"/>
      <c r="H287" s="64"/>
      <c r="I287" s="73"/>
      <c r="J287" s="129"/>
      <c r="K287"/>
    </row>
    <row r="288" spans="1:11" x14ac:dyDescent="0.25">
      <c r="B288" s="63" t="s">
        <v>110</v>
      </c>
      <c r="C288" s="64">
        <f t="shared" si="20"/>
        <v>0.76428301172909574</v>
      </c>
      <c r="D288" s="64">
        <f t="shared" si="21"/>
        <v>0.62600896860986555</v>
      </c>
      <c r="E288" s="64">
        <f t="shared" si="22"/>
        <v>0.43431557016678918</v>
      </c>
      <c r="F288" s="74">
        <f t="shared" si="23"/>
        <v>0.86455331412103742</v>
      </c>
      <c r="G288" s="64">
        <f t="shared" ref="G288:G304" si="30">H126/$H$162*120</f>
        <v>0.52099249976490614</v>
      </c>
      <c r="H288" s="64">
        <f t="shared" ref="H288:H304" si="31">J126/$J$162</f>
        <v>1.1234282159830447</v>
      </c>
      <c r="I288" s="73">
        <f>SUM(Table26[[#This Row],[Adjusted FLE]:[Cost/Item]])</f>
        <v>4.3335815803747382</v>
      </c>
      <c r="J288" s="129">
        <f>Table26[[#This Row],[Coefficient]]/$I$328*$H$2</f>
        <v>1225.6588025756282</v>
      </c>
      <c r="K288"/>
    </row>
    <row r="289" spans="2:11" x14ac:dyDescent="0.25">
      <c r="B289" s="63" t="s">
        <v>111</v>
      </c>
      <c r="C289" s="64">
        <f t="shared" si="20"/>
        <v>0.1816118047673099</v>
      </c>
      <c r="D289" s="64">
        <f t="shared" si="21"/>
        <v>0.62600896860986555</v>
      </c>
      <c r="E289" s="64">
        <f t="shared" si="22"/>
        <v>0.45102001517320417</v>
      </c>
      <c r="F289" s="74">
        <f t="shared" si="23"/>
        <v>0.86455331412103742</v>
      </c>
      <c r="G289" s="64">
        <f t="shared" si="30"/>
        <v>0.53608870220623273</v>
      </c>
      <c r="H289" s="64">
        <f t="shared" si="31"/>
        <v>1.1776210899325332</v>
      </c>
      <c r="I289" s="73">
        <f>SUM(Table26[[#This Row],[Adjusted FLE]:[Cost/Item]])</f>
        <v>3.8369038948101828</v>
      </c>
      <c r="J289" s="129">
        <f>Table26[[#This Row],[Coefficient]]/$I$328*$H$2</f>
        <v>1085.1843783460406</v>
      </c>
      <c r="K289"/>
    </row>
    <row r="290" spans="2:11" x14ac:dyDescent="0.25">
      <c r="B290" s="63" t="s">
        <v>112</v>
      </c>
      <c r="C290" s="64">
        <f t="shared" si="20"/>
        <v>0.76428301172909574</v>
      </c>
      <c r="D290" s="64">
        <f t="shared" si="21"/>
        <v>0.62600896860986555</v>
      </c>
      <c r="E290" s="64">
        <f t="shared" si="22"/>
        <v>0.45102001517320417</v>
      </c>
      <c r="F290" s="74">
        <f t="shared" si="23"/>
        <v>0.86455331412103742</v>
      </c>
      <c r="G290" s="64">
        <f t="shared" si="30"/>
        <v>0.53608870220623273</v>
      </c>
      <c r="H290" s="64">
        <f t="shared" si="31"/>
        <v>1.1776210899325332</v>
      </c>
      <c r="I290" s="73">
        <f>SUM(Table26[[#This Row],[Adjusted FLE]:[Cost/Item]])</f>
        <v>4.4195751017719687</v>
      </c>
      <c r="J290" s="129">
        <f>Table26[[#This Row],[Coefficient]]/$I$328*$H$2</f>
        <v>1249.980189980057</v>
      </c>
      <c r="K290"/>
    </row>
    <row r="291" spans="2:11" x14ac:dyDescent="0.25">
      <c r="B291" s="63" t="s">
        <v>113</v>
      </c>
      <c r="C291" s="64">
        <f t="shared" si="20"/>
        <v>0.96102913356034803</v>
      </c>
      <c r="D291" s="64">
        <f t="shared" si="21"/>
        <v>0.62600896860986555</v>
      </c>
      <c r="E291" s="64">
        <f t="shared" si="22"/>
        <v>0.36749779014112932</v>
      </c>
      <c r="F291" s="74">
        <f t="shared" si="23"/>
        <v>0.86455331412103742</v>
      </c>
      <c r="G291" s="64">
        <f t="shared" si="30"/>
        <v>0.43430623963091841</v>
      </c>
      <c r="H291" s="64">
        <f t="shared" si="31"/>
        <v>1.2175287425238728</v>
      </c>
      <c r="I291" s="73">
        <f>SUM(Table26[[#This Row],[Adjusted FLE]:[Cost/Item]])</f>
        <v>4.4709241885871718</v>
      </c>
      <c r="J291" s="129">
        <f>Table26[[#This Row],[Coefficient]]/$I$328*$H$2</f>
        <v>1264.5031565129339</v>
      </c>
      <c r="K291"/>
    </row>
    <row r="292" spans="2:11" x14ac:dyDescent="0.25">
      <c r="B292" s="63" t="s">
        <v>114</v>
      </c>
      <c r="C292" s="64">
        <f t="shared" si="20"/>
        <v>0.76428301172909574</v>
      </c>
      <c r="D292" s="64">
        <f t="shared" si="21"/>
        <v>0.62600896860986555</v>
      </c>
      <c r="E292" s="64">
        <f t="shared" si="22"/>
        <v>0.45102001517320417</v>
      </c>
      <c r="F292" s="74">
        <f t="shared" si="23"/>
        <v>0.17291066282420747</v>
      </c>
      <c r="G292" s="64">
        <f t="shared" si="30"/>
        <v>0.53608870220623273</v>
      </c>
      <c r="H292" s="64">
        <f t="shared" si="31"/>
        <v>1.1776210899325332</v>
      </c>
      <c r="I292" s="73">
        <f>SUM(Table26[[#This Row],[Adjusted FLE]:[Cost/Item]])</f>
        <v>3.727932450475139</v>
      </c>
      <c r="J292" s="129">
        <f>Table26[[#This Row],[Coefficient]]/$I$328*$H$2</f>
        <v>1054.3641878173839</v>
      </c>
      <c r="K292"/>
    </row>
    <row r="293" spans="2:11" x14ac:dyDescent="0.25">
      <c r="B293" s="63" t="s">
        <v>115</v>
      </c>
      <c r="C293" s="64">
        <f t="shared" si="20"/>
        <v>0.2194475974271661</v>
      </c>
      <c r="D293" s="64">
        <f t="shared" si="21"/>
        <v>0.62600896860986555</v>
      </c>
      <c r="E293" s="64">
        <f t="shared" si="22"/>
        <v>0.46772446017961916</v>
      </c>
      <c r="F293" s="74">
        <f t="shared" si="23"/>
        <v>0.17291066282420747</v>
      </c>
      <c r="G293" s="64">
        <f t="shared" si="30"/>
        <v>0.56079380961485725</v>
      </c>
      <c r="H293" s="64">
        <f t="shared" si="31"/>
        <v>1.4291959670110741</v>
      </c>
      <c r="I293" s="73">
        <f>SUM(Table26[[#This Row],[Adjusted FLE]:[Cost/Item]])</f>
        <v>3.4760814656667893</v>
      </c>
      <c r="J293" s="129">
        <f>Table26[[#This Row],[Coefficient]]/$I$328*$H$2</f>
        <v>983.13364311837279</v>
      </c>
      <c r="K293"/>
    </row>
    <row r="294" spans="2:11" x14ac:dyDescent="0.25">
      <c r="B294" s="63" t="s">
        <v>116</v>
      </c>
      <c r="C294" s="64">
        <f t="shared" si="20"/>
        <v>0.76428301172909574</v>
      </c>
      <c r="D294" s="64">
        <f t="shared" si="21"/>
        <v>0.62600896860986555</v>
      </c>
      <c r="E294" s="64">
        <f t="shared" si="22"/>
        <v>0.45102001517320417</v>
      </c>
      <c r="F294" s="74">
        <f t="shared" si="23"/>
        <v>0.17291066282420747</v>
      </c>
      <c r="G294" s="64">
        <f t="shared" si="30"/>
        <v>0.53608870220623273</v>
      </c>
      <c r="H294" s="64">
        <f t="shared" si="31"/>
        <v>1.1776210899325332</v>
      </c>
      <c r="I294" s="73">
        <f>SUM(Table26[[#This Row],[Adjusted FLE]:[Cost/Item]])</f>
        <v>3.727932450475139</v>
      </c>
      <c r="J294" s="129">
        <f>Table26[[#This Row],[Coefficient]]/$I$328*$H$2</f>
        <v>1054.3641878173839</v>
      </c>
      <c r="K294"/>
    </row>
    <row r="295" spans="2:11" x14ac:dyDescent="0.25">
      <c r="B295" s="63" t="s">
        <v>121</v>
      </c>
      <c r="C295" s="64">
        <f t="shared" si="20"/>
        <v>0.1816118047673099</v>
      </c>
      <c r="D295" s="64">
        <f t="shared" si="21"/>
        <v>0.62600896860986555</v>
      </c>
      <c r="E295" s="64">
        <f t="shared" si="22"/>
        <v>0.45102001517320417</v>
      </c>
      <c r="F295" s="74">
        <f t="shared" si="23"/>
        <v>0.86455331412103742</v>
      </c>
      <c r="G295" s="64">
        <f t="shared" si="30"/>
        <v>0.53608870220623273</v>
      </c>
      <c r="H295" s="64">
        <f t="shared" si="31"/>
        <v>1.1776210899325332</v>
      </c>
      <c r="I295" s="73">
        <f>SUM(Table26[[#This Row],[Adjusted FLE]:[Cost/Item]])</f>
        <v>3.8369038948101828</v>
      </c>
      <c r="J295" s="129">
        <f>Table26[[#This Row],[Coefficient]]/$I$328*$H$2</f>
        <v>1085.1843783460406</v>
      </c>
      <c r="K295"/>
    </row>
    <row r="296" spans="2:11" x14ac:dyDescent="0.25">
      <c r="B296" s="63" t="s">
        <v>117</v>
      </c>
      <c r="C296" s="64">
        <f t="shared" ref="C296:C308" si="32">D134/$D$162*60</f>
        <v>0.22701475595913731</v>
      </c>
      <c r="D296" s="64">
        <f t="shared" ref="D296:D312" si="33">E134/$E$162*10</f>
        <v>0.62600896860986555</v>
      </c>
      <c r="E296" s="64">
        <f t="shared" ref="E296:E312" si="34">F134/$F$162*120</f>
        <v>0.45102001517320417</v>
      </c>
      <c r="F296" s="74">
        <f t="shared" ref="F296:F312" si="35">G134/$G$162*120</f>
        <v>0.86455331412103742</v>
      </c>
      <c r="G296" s="64">
        <f t="shared" si="30"/>
        <v>0.53608870220623273</v>
      </c>
      <c r="H296" s="64">
        <f t="shared" si="31"/>
        <v>1.1776210899325332</v>
      </c>
      <c r="I296" s="73">
        <f>SUM(Table26[[#This Row],[Adjusted FLE]:[Cost/Item]])</f>
        <v>3.8823068460020105</v>
      </c>
      <c r="J296" s="129">
        <f>Table26[[#This Row],[Coefficient]]/$I$328*$H$2</f>
        <v>1098.0256104214186</v>
      </c>
      <c r="K296"/>
    </row>
    <row r="297" spans="2:11" x14ac:dyDescent="0.25">
      <c r="B297" s="63" t="s">
        <v>118</v>
      </c>
      <c r="C297" s="64">
        <f t="shared" si="32"/>
        <v>0.31782065834279227</v>
      </c>
      <c r="D297" s="64">
        <f t="shared" si="33"/>
        <v>0.62600896860986555</v>
      </c>
      <c r="E297" s="64">
        <f t="shared" si="34"/>
        <v>0.53454224020527896</v>
      </c>
      <c r="F297" s="74">
        <f t="shared" si="35"/>
        <v>0.17291066282420747</v>
      </c>
      <c r="G297" s="64">
        <f t="shared" si="30"/>
        <v>0.63753184550501341</v>
      </c>
      <c r="H297" s="64">
        <f t="shared" si="31"/>
        <v>1.1914683210131924</v>
      </c>
      <c r="I297" s="73">
        <f>SUM(Table26[[#This Row],[Adjusted FLE]:[Cost/Item]])</f>
        <v>3.4802826965003497</v>
      </c>
      <c r="J297" s="129">
        <f>Table26[[#This Row],[Coefficient]]/$I$328*$H$2</f>
        <v>984.3218694058678</v>
      </c>
      <c r="K297"/>
    </row>
    <row r="298" spans="2:11" x14ac:dyDescent="0.25">
      <c r="B298" s="63" t="s">
        <v>119</v>
      </c>
      <c r="C298" s="64">
        <f t="shared" si="32"/>
        <v>0.62807415815361334</v>
      </c>
      <c r="D298" s="64">
        <f t="shared" si="33"/>
        <v>0.62600896860986555</v>
      </c>
      <c r="E298" s="64">
        <f t="shared" si="34"/>
        <v>0.53454224020527896</v>
      </c>
      <c r="F298" s="74">
        <f t="shared" si="35"/>
        <v>0.17291066282420747</v>
      </c>
      <c r="G298" s="64">
        <f t="shared" si="30"/>
        <v>0.63172696201389811</v>
      </c>
      <c r="H298" s="64">
        <f t="shared" si="31"/>
        <v>1.4757745484441906</v>
      </c>
      <c r="I298" s="73">
        <f>SUM(Table26[[#This Row],[Adjusted FLE]:[Cost/Item]])</f>
        <v>4.0690375402510544</v>
      </c>
      <c r="J298" s="129">
        <f>Table26[[#This Row],[Coefficient]]/$I$328*$H$2</f>
        <v>1150.8383046957947</v>
      </c>
      <c r="K298"/>
    </row>
    <row r="299" spans="2:11" x14ac:dyDescent="0.25">
      <c r="B299" s="63" t="s">
        <v>120</v>
      </c>
      <c r="C299" s="64">
        <f t="shared" si="32"/>
        <v>1.9069239500567536</v>
      </c>
      <c r="D299" s="64">
        <f t="shared" si="33"/>
        <v>0.62600896860986555</v>
      </c>
      <c r="E299" s="64">
        <f t="shared" si="34"/>
        <v>0.45102001517320417</v>
      </c>
      <c r="F299" s="74">
        <f t="shared" si="35"/>
        <v>0.86455331412103742</v>
      </c>
      <c r="G299" s="64">
        <f t="shared" si="30"/>
        <v>0.53608870220623273</v>
      </c>
      <c r="H299" s="64">
        <f t="shared" si="31"/>
        <v>1.1776210899325332</v>
      </c>
      <c r="I299" s="73">
        <f>SUM(Table26[[#This Row],[Adjusted FLE]:[Cost/Item]])</f>
        <v>5.5622160400996261</v>
      </c>
      <c r="J299" s="129">
        <f>Table26[[#This Row],[Coefficient]]/$I$328*$H$2</f>
        <v>1573.1511972104008</v>
      </c>
      <c r="K299"/>
    </row>
    <row r="300" spans="2:11" x14ac:dyDescent="0.25">
      <c r="B300" s="63" t="s">
        <v>122</v>
      </c>
      <c r="C300" s="64">
        <f t="shared" si="32"/>
        <v>9.0805902383654949E-2</v>
      </c>
      <c r="D300" s="64">
        <f t="shared" si="33"/>
        <v>0.62600896860986555</v>
      </c>
      <c r="E300" s="64">
        <f t="shared" si="34"/>
        <v>0.45102001517320417</v>
      </c>
      <c r="F300" s="74">
        <f t="shared" si="35"/>
        <v>0.86455331412103742</v>
      </c>
      <c r="G300" s="64">
        <f t="shared" si="30"/>
        <v>0.53608870220623273</v>
      </c>
      <c r="H300" s="64">
        <f t="shared" si="31"/>
        <v>1.1776210899325332</v>
      </c>
      <c r="I300" s="73">
        <f>SUM(Table26[[#This Row],[Adjusted FLE]:[Cost/Item]])</f>
        <v>3.7460979924265279</v>
      </c>
      <c r="J300" s="129">
        <f>Table26[[#This Row],[Coefficient]]/$I$328*$H$2</f>
        <v>1059.5019141952848</v>
      </c>
      <c r="K300"/>
    </row>
    <row r="301" spans="2:11" x14ac:dyDescent="0.25">
      <c r="B301" s="63" t="s">
        <v>123</v>
      </c>
      <c r="C301" s="64">
        <f t="shared" si="32"/>
        <v>3.6171017782822545</v>
      </c>
      <c r="D301" s="64">
        <f t="shared" si="33"/>
        <v>0.62600896860986555</v>
      </c>
      <c r="E301" s="64">
        <f t="shared" si="34"/>
        <v>0.36749779014112932</v>
      </c>
      <c r="F301" s="74">
        <f t="shared" si="35"/>
        <v>0.86455331412103742</v>
      </c>
      <c r="G301" s="64">
        <f t="shared" si="30"/>
        <v>0.43118085670780343</v>
      </c>
      <c r="H301" s="64">
        <f t="shared" si="31"/>
        <v>0.75551638289108503</v>
      </c>
      <c r="I301" s="73">
        <f>SUM(Table26[[#This Row],[Adjusted FLE]:[Cost/Item]])</f>
        <v>6.6618590907531763</v>
      </c>
      <c r="J301" s="129">
        <f>Table26[[#This Row],[Coefficient]]/$I$328*$H$2</f>
        <v>1884.1611919981519</v>
      </c>
      <c r="K301"/>
    </row>
    <row r="302" spans="2:11" x14ac:dyDescent="0.25">
      <c r="B302" s="63" t="s">
        <v>124</v>
      </c>
      <c r="C302" s="64">
        <f t="shared" si="32"/>
        <v>9.0805902383654949E-2</v>
      </c>
      <c r="D302" s="64">
        <f t="shared" si="33"/>
        <v>0.62600896860986555</v>
      </c>
      <c r="E302" s="64">
        <f t="shared" si="34"/>
        <v>0.45102001517320417</v>
      </c>
      <c r="F302" s="74">
        <f t="shared" si="35"/>
        <v>0.86455331412103742</v>
      </c>
      <c r="G302" s="64">
        <f t="shared" si="30"/>
        <v>0.53608870220623273</v>
      </c>
      <c r="H302" s="64">
        <f t="shared" si="31"/>
        <v>1.1776210899325334</v>
      </c>
      <c r="I302" s="73">
        <f>SUM(Table26[[#This Row],[Adjusted FLE]:[Cost/Item]])</f>
        <v>3.7460979924265283</v>
      </c>
      <c r="J302" s="129">
        <f>Table26[[#This Row],[Coefficient]]/$I$328*$H$2</f>
        <v>1059.5019141952851</v>
      </c>
      <c r="K302"/>
    </row>
    <row r="303" spans="2:11" x14ac:dyDescent="0.25">
      <c r="B303" s="63" t="s">
        <v>10</v>
      </c>
      <c r="C303" s="64">
        <f t="shared" si="32"/>
        <v>0.76512380712153694</v>
      </c>
      <c r="D303" s="64">
        <f>E141/$E$162/60</f>
        <v>5.4739910313901345E-2</v>
      </c>
      <c r="E303" s="64">
        <f t="shared" si="34"/>
        <v>1.670444500641497</v>
      </c>
      <c r="F303" s="74">
        <f t="shared" si="35"/>
        <v>0.86455331412103742</v>
      </c>
      <c r="G303" s="64">
        <f t="shared" si="30"/>
        <v>2.3627894898749022</v>
      </c>
      <c r="H303" s="64">
        <f t="shared" si="31"/>
        <v>2.5475536032431716</v>
      </c>
      <c r="I303" s="73">
        <f>SUM(Table26[[#This Row],[Adjusted FLE]:[Cost/Item]])</f>
        <v>8.2652046253160467</v>
      </c>
      <c r="J303" s="129">
        <f>Table26[[#This Row],[Coefficient]]/$I$328*$H$2</f>
        <v>2337.6324216403486</v>
      </c>
      <c r="K303"/>
    </row>
    <row r="304" spans="2:11" x14ac:dyDescent="0.25">
      <c r="B304" s="63" t="s">
        <v>9</v>
      </c>
      <c r="C304" s="64">
        <f t="shared" si="32"/>
        <v>0.76529196620002515</v>
      </c>
      <c r="D304" s="64">
        <f t="shared" si="33"/>
        <v>0.62600896860986555</v>
      </c>
      <c r="E304" s="64">
        <f t="shared" si="34"/>
        <v>0.99892581138361514</v>
      </c>
      <c r="F304" s="74">
        <f t="shared" si="35"/>
        <v>0.86455331412103742</v>
      </c>
      <c r="G304" s="64">
        <f t="shared" si="30"/>
        <v>0.2994983366430477</v>
      </c>
      <c r="H304" s="64">
        <f t="shared" si="31"/>
        <v>1.0504354516612744</v>
      </c>
      <c r="I304" s="73">
        <f>SUM(Table26[[#This Row],[Adjusted FLE]:[Cost/Item]])</f>
        <v>4.6047138486188661</v>
      </c>
      <c r="J304" s="129">
        <f>Table26[[#This Row],[Coefficient]]/$I$328*$H$2</f>
        <v>1302.3426367373415</v>
      </c>
      <c r="K304"/>
    </row>
    <row r="305" spans="1:11" x14ac:dyDescent="0.25">
      <c r="A305" s="63" t="s">
        <v>153</v>
      </c>
      <c r="C305" s="64"/>
      <c r="D305" s="64"/>
      <c r="E305" s="64"/>
      <c r="F305" s="74"/>
      <c r="G305" s="64"/>
      <c r="H305" s="64"/>
      <c r="I305" s="73"/>
      <c r="J305" s="129">
        <f>SUBTOTAL(109,J288:J304)</f>
        <v>21451.849985013734</v>
      </c>
      <c r="K305"/>
    </row>
    <row r="306" spans="1:11" x14ac:dyDescent="0.25">
      <c r="A306" s="63" t="s">
        <v>126</v>
      </c>
      <c r="C306" s="64"/>
      <c r="D306" s="64"/>
      <c r="E306" s="64"/>
      <c r="F306" s="74"/>
      <c r="G306" s="64"/>
      <c r="H306" s="64"/>
      <c r="I306" s="73"/>
      <c r="J306" s="129"/>
      <c r="K306"/>
    </row>
    <row r="307" spans="1:11" x14ac:dyDescent="0.25">
      <c r="B307" s="63" t="s">
        <v>10</v>
      </c>
      <c r="C307" s="64">
        <f t="shared" si="32"/>
        <v>0.56992283120884968</v>
      </c>
      <c r="D307" s="64">
        <f>E145/$E$162/60</f>
        <v>5.4739910313901345E-2</v>
      </c>
      <c r="E307" s="64">
        <f t="shared" si="34"/>
        <v>1.8374889507056464</v>
      </c>
      <c r="F307" s="74">
        <f t="shared" si="35"/>
        <v>0.86455331412103742</v>
      </c>
      <c r="G307" s="64">
        <f>H145/$H$162*120</f>
        <v>1.9734879230493767</v>
      </c>
      <c r="H307" s="64">
        <f>J145/$J$162</f>
        <v>1.0244929506099183</v>
      </c>
      <c r="I307" s="73">
        <f>SUM(Table26[[#This Row],[Adjusted FLE]:[Cost/Item]])</f>
        <v>6.3246858800087304</v>
      </c>
      <c r="J307" s="129">
        <f>Table26[[#This Row],[Coefficient]]/$I$328*$H$2</f>
        <v>1788.7991211389985</v>
      </c>
      <c r="K307"/>
    </row>
    <row r="308" spans="1:11" x14ac:dyDescent="0.25">
      <c r="B308" s="63" t="s">
        <v>9</v>
      </c>
      <c r="C308" s="64">
        <f t="shared" si="32"/>
        <v>0.54160277727993811</v>
      </c>
      <c r="D308" s="64">
        <f t="shared" si="33"/>
        <v>1.6753363228699554</v>
      </c>
      <c r="E308" s="64">
        <f t="shared" si="34"/>
        <v>2.4201399925294007</v>
      </c>
      <c r="F308" s="74">
        <f t="shared" si="35"/>
        <v>0.86455331412103742</v>
      </c>
      <c r="G308" s="64">
        <f>H146/$H$162*120</f>
        <v>2.2071933736891394</v>
      </c>
      <c r="H308" s="64">
        <f>J146/$J$162</f>
        <v>0.46873382581427553</v>
      </c>
      <c r="I308" s="73">
        <f>SUM(Table26[[#This Row],[Adjusted FLE]:[Cost/Item]])</f>
        <v>8.1775596063037472</v>
      </c>
      <c r="J308" s="129">
        <f>Table26[[#This Row],[Coefficient]]/$I$328*$H$2</f>
        <v>2312.8439442430818</v>
      </c>
      <c r="K308"/>
    </row>
    <row r="309" spans="1:11" x14ac:dyDescent="0.25">
      <c r="A309" s="63" t="s">
        <v>153</v>
      </c>
      <c r="C309" s="64"/>
      <c r="D309" s="64"/>
      <c r="E309" s="64"/>
      <c r="F309" s="74"/>
      <c r="G309" s="64"/>
      <c r="H309" s="64"/>
      <c r="I309" s="73"/>
      <c r="J309" s="129">
        <f>SUBTOTAL(109,J307:J308)</f>
        <v>4101.6430653820807</v>
      </c>
      <c r="K309"/>
    </row>
    <row r="310" spans="1:11" x14ac:dyDescent="0.25">
      <c r="A310" s="63" t="s">
        <v>150</v>
      </c>
      <c r="C310" s="64"/>
      <c r="D310" s="64"/>
      <c r="E310" s="64"/>
      <c r="F310" s="74"/>
      <c r="G310" s="64"/>
      <c r="H310" s="64"/>
      <c r="I310" s="73"/>
      <c r="J310" s="129"/>
      <c r="K310"/>
    </row>
    <row r="311" spans="1:11" x14ac:dyDescent="0.25">
      <c r="B311" s="63" t="s">
        <v>10</v>
      </c>
      <c r="C311" s="64"/>
      <c r="D311" s="64">
        <f>E149/$E$162/60</f>
        <v>5.4739910313901345E-2</v>
      </c>
      <c r="E311" s="64">
        <f t="shared" si="34"/>
        <v>0.33408890012829939</v>
      </c>
      <c r="F311" s="74">
        <f t="shared" si="35"/>
        <v>0.51873198847262247</v>
      </c>
      <c r="G311" s="64">
        <f>H149/$H$162*120</f>
        <v>0.17540002305255342</v>
      </c>
      <c r="H311" s="64">
        <f>J149/$J$162</f>
        <v>1.2293207884563075</v>
      </c>
      <c r="I311" s="73">
        <f>SUM(Table26[[#This Row],[Adjusted FLE]:[Cost/Item]])</f>
        <v>2.3122816104236845</v>
      </c>
      <c r="J311" s="129">
        <f>Table26[[#This Row],[Coefficient]]/$I$328*$H$2</f>
        <v>653.97829884731698</v>
      </c>
      <c r="K311"/>
    </row>
    <row r="312" spans="1:11" x14ac:dyDescent="0.25">
      <c r="B312" s="63" t="s">
        <v>9</v>
      </c>
      <c r="C312" s="64"/>
      <c r="D312" s="64">
        <f t="shared" si="33"/>
        <v>0</v>
      </c>
      <c r="E312" s="64">
        <f t="shared" si="34"/>
        <v>0.84858580632588043</v>
      </c>
      <c r="F312" s="74">
        <f t="shared" si="35"/>
        <v>0.51873198847262247</v>
      </c>
      <c r="G312" s="64">
        <f>H150/$H$162*120</f>
        <v>0.72738975937255246</v>
      </c>
      <c r="H312" s="64">
        <f>J150/$J$162</f>
        <v>0.52285931664415042</v>
      </c>
      <c r="I312" s="73">
        <f>SUM(Table26[[#This Row],[Adjusted FLE]:[Cost/Item]])</f>
        <v>2.6175668708152058</v>
      </c>
      <c r="J312" s="129">
        <f>Table26[[#This Row],[Coefficient]]/$I$328*$H$2</f>
        <v>740.32156013261726</v>
      </c>
      <c r="K312"/>
    </row>
    <row r="313" spans="1:11" x14ac:dyDescent="0.25">
      <c r="A313" s="63" t="s">
        <v>153</v>
      </c>
      <c r="C313" s="64"/>
      <c r="D313" s="64"/>
      <c r="E313" s="64"/>
      <c r="F313" s="74"/>
      <c r="G313" s="64"/>
      <c r="H313" s="64"/>
      <c r="I313" s="73"/>
      <c r="J313" s="129">
        <f>SUBTOTAL(109,J311:J312)</f>
        <v>1394.2998589799342</v>
      </c>
      <c r="K313"/>
    </row>
    <row r="314" spans="1:11" x14ac:dyDescent="0.25">
      <c r="A314" s="63" t="s">
        <v>134</v>
      </c>
      <c r="C314" s="64"/>
      <c r="D314" s="64"/>
      <c r="E314" s="64"/>
      <c r="F314" s="74"/>
      <c r="G314" s="64"/>
      <c r="H314" s="64"/>
      <c r="I314" s="73"/>
      <c r="J314" s="129"/>
      <c r="K314"/>
    </row>
    <row r="315" spans="1:11" x14ac:dyDescent="0.25">
      <c r="B315" s="63" t="s">
        <v>139</v>
      </c>
      <c r="C315" s="64"/>
      <c r="D315" s="64"/>
      <c r="E315" s="165">
        <v>200</v>
      </c>
      <c r="F315" s="74"/>
      <c r="G315" s="64"/>
      <c r="H315" s="64"/>
      <c r="I315" s="73">
        <f>SUM(Table26[[#This Row],[Adjusted FLE]:[Cost/Item]])</f>
        <v>200</v>
      </c>
      <c r="J315" s="129">
        <f>Table26[[#This Row],[Coefficient]]/$I$328*$H$2</f>
        <v>56565.627292039659</v>
      </c>
      <c r="K315"/>
    </row>
    <row r="316" spans="1:11" x14ac:dyDescent="0.25">
      <c r="B316" s="63" t="s">
        <v>138</v>
      </c>
      <c r="C316" s="64"/>
      <c r="D316" s="64"/>
      <c r="E316" s="165"/>
      <c r="F316" s="74"/>
      <c r="G316" s="64"/>
      <c r="H316" s="64"/>
      <c r="I316" s="73">
        <f>SUM(Table26[[#This Row],[Adjusted FLE]:[Cost/Item]])</f>
        <v>0</v>
      </c>
      <c r="J316" s="129">
        <f>Table26[[#This Row],[Coefficient]]/$I$328*$H$2</f>
        <v>0</v>
      </c>
      <c r="K316"/>
    </row>
    <row r="317" spans="1:11" x14ac:dyDescent="0.25">
      <c r="B317" s="63" t="s">
        <v>137</v>
      </c>
      <c r="C317" s="64"/>
      <c r="D317" s="64"/>
      <c r="E317" s="165"/>
      <c r="F317" s="74"/>
      <c r="G317" s="64"/>
      <c r="H317" s="64"/>
      <c r="I317" s="73">
        <f>SUM(Table26[[#This Row],[Adjusted FLE]:[Cost/Item]])</f>
        <v>0</v>
      </c>
      <c r="J317" s="129">
        <f>Table26[[#This Row],[Coefficient]]/$I$328*$H$2</f>
        <v>0</v>
      </c>
      <c r="K317"/>
    </row>
    <row r="318" spans="1:11" x14ac:dyDescent="0.25">
      <c r="B318" s="63" t="s">
        <v>136</v>
      </c>
      <c r="C318" s="64"/>
      <c r="D318" s="64"/>
      <c r="E318" s="165">
        <v>15</v>
      </c>
      <c r="F318" s="74"/>
      <c r="G318" s="64"/>
      <c r="H318" s="64"/>
      <c r="I318" s="73">
        <f>SUM(Table26[[#This Row],[Adjusted FLE]:[Cost/Item]])</f>
        <v>15</v>
      </c>
      <c r="J318" s="129">
        <f>Table26[[#This Row],[Coefficient]]/$I$328*$H$2</f>
        <v>4242.4220469029742</v>
      </c>
      <c r="K318"/>
    </row>
    <row r="319" spans="1:11" x14ac:dyDescent="0.25">
      <c r="B319" s="63" t="s">
        <v>147</v>
      </c>
      <c r="C319" s="64"/>
      <c r="D319" s="64"/>
      <c r="E319" s="165">
        <v>3</v>
      </c>
      <c r="F319" s="74"/>
      <c r="G319" s="64"/>
      <c r="H319" s="64"/>
      <c r="I319" s="73">
        <f>SUM(Table26[[#This Row],[Adjusted FLE]:[Cost/Item]])</f>
        <v>3</v>
      </c>
      <c r="J319" s="129">
        <f>Table26[[#This Row],[Coefficient]]/$I$328*$H$2</f>
        <v>848.48440938059491</v>
      </c>
      <c r="K319"/>
    </row>
    <row r="320" spans="1:11" x14ac:dyDescent="0.25">
      <c r="B320" s="63" t="s">
        <v>135</v>
      </c>
      <c r="C320" s="64"/>
      <c r="D320" s="64"/>
      <c r="E320" s="165">
        <v>4</v>
      </c>
      <c r="F320" s="74"/>
      <c r="G320" s="64"/>
      <c r="H320" s="64"/>
      <c r="I320" s="73">
        <f>SUM(Table26[[#This Row],[Adjusted FLE]:[Cost/Item]])</f>
        <v>4</v>
      </c>
      <c r="J320" s="129">
        <f>Table26[[#This Row],[Coefficient]]/$I$328*$H$2</f>
        <v>1131.3125458407933</v>
      </c>
      <c r="K320"/>
    </row>
    <row r="321" spans="1:11" x14ac:dyDescent="0.25">
      <c r="B321" s="63" t="s">
        <v>133</v>
      </c>
      <c r="C321" s="64"/>
      <c r="D321" s="64"/>
      <c r="E321" s="165">
        <v>90</v>
      </c>
      <c r="F321" s="74"/>
      <c r="G321" s="64"/>
      <c r="H321" s="64"/>
      <c r="I321" s="73">
        <f>SUM(Table26[[#This Row],[Adjusted FLE]:[Cost/Item]])</f>
        <v>90</v>
      </c>
      <c r="J321" s="129">
        <f>Table26[[#This Row],[Coefficient]]/$I$328*$H$2</f>
        <v>25454.532281417847</v>
      </c>
      <c r="K321"/>
    </row>
    <row r="322" spans="1:11" x14ac:dyDescent="0.25">
      <c r="B322" s="63" t="s">
        <v>303</v>
      </c>
      <c r="C322" s="64"/>
      <c r="D322" s="64"/>
      <c r="E322" s="165">
        <v>54</v>
      </c>
      <c r="F322" s="74"/>
      <c r="G322" s="147"/>
      <c r="H322" s="147"/>
      <c r="I322" s="148">
        <f>SUM(Table26[[#This Row],[Adjusted FLE]:[Cost/Item]])</f>
        <v>54</v>
      </c>
      <c r="J322" s="149">
        <f>Table26[[#This Row],[Coefficient]]/$I$328*300000</f>
        <v>15272.719368850707</v>
      </c>
      <c r="K322"/>
    </row>
    <row r="323" spans="1:11" x14ac:dyDescent="0.25">
      <c r="B323" s="63" t="s">
        <v>9</v>
      </c>
      <c r="C323" s="64"/>
      <c r="D323" s="64"/>
      <c r="E323" s="165">
        <v>5</v>
      </c>
      <c r="F323" s="74"/>
      <c r="G323" s="64"/>
      <c r="H323" s="64"/>
      <c r="I323" s="73">
        <f>SUM(Table26[[#This Row],[Adjusted FLE]:[Cost/Item]])</f>
        <v>5</v>
      </c>
      <c r="J323" s="129">
        <f>Table26[[#This Row],[Coefficient]]/$I$328*$H$2</f>
        <v>1414.1406823009913</v>
      </c>
      <c r="K323"/>
    </row>
    <row r="324" spans="1:11" x14ac:dyDescent="0.25">
      <c r="B324" s="63" t="s">
        <v>302</v>
      </c>
      <c r="C324" s="64"/>
      <c r="D324" s="38"/>
      <c r="E324" s="165">
        <v>54</v>
      </c>
      <c r="F324" s="74"/>
      <c r="G324" s="147"/>
      <c r="H324" s="147"/>
      <c r="I324" s="148">
        <f>SUM(Table26[[#This Row],[Adjusted FLE]:[Cost/Item]])</f>
        <v>54</v>
      </c>
      <c r="J324" s="149">
        <f>Table26[[#This Row],[Coefficient]]/$I$328*300000</f>
        <v>15272.719368850707</v>
      </c>
      <c r="K324"/>
    </row>
    <row r="325" spans="1:11" x14ac:dyDescent="0.25">
      <c r="A325" s="63" t="s">
        <v>142</v>
      </c>
      <c r="C325" s="64"/>
      <c r="D325" s="64"/>
      <c r="E325" s="64"/>
      <c r="F325" s="74"/>
      <c r="G325" s="64"/>
      <c r="H325" s="64"/>
      <c r="I325" s="73"/>
      <c r="J325" s="129">
        <f>SUBTOTAL(109,J315:J323)</f>
        <v>104929.23862673357</v>
      </c>
      <c r="K325"/>
    </row>
    <row r="326" spans="1:11" x14ac:dyDescent="0.25">
      <c r="A326" s="63" t="s">
        <v>300</v>
      </c>
      <c r="C326" s="64"/>
      <c r="D326" s="64"/>
      <c r="E326" s="64"/>
      <c r="F326" s="74"/>
      <c r="G326" s="147"/>
      <c r="H326" s="147"/>
      <c r="I326" s="148"/>
      <c r="J326" s="149">
        <f>J328-J327-J324-J321</f>
        <v>181164.10453667911</v>
      </c>
      <c r="K326"/>
    </row>
    <row r="327" spans="1:11" x14ac:dyDescent="0.25">
      <c r="A327" s="63" t="s">
        <v>301</v>
      </c>
      <c r="C327" s="64"/>
      <c r="D327" s="64"/>
      <c r="E327" s="64"/>
      <c r="F327" s="74"/>
      <c r="G327" s="147"/>
      <c r="H327" s="147"/>
      <c r="I327" s="148"/>
      <c r="J327" s="149">
        <f>J315+J311+J307+J303+J284+J265+J246+J235+J218+J198+J175</f>
        <v>78108.64381305236</v>
      </c>
      <c r="K327"/>
    </row>
    <row r="328" spans="1:11" x14ac:dyDescent="0.25">
      <c r="A328" s="63" t="s">
        <v>131</v>
      </c>
      <c r="G328" s="72"/>
      <c r="H328" s="72"/>
      <c r="I328" s="73">
        <f>SUBTOTAL(109,I166:I325)</f>
        <v>1060.714834650895</v>
      </c>
      <c r="J328" s="129">
        <f>Table26[[#This Row],[Coefficient]]/$I$328*$H$2</f>
        <v>300000</v>
      </c>
      <c r="K328"/>
    </row>
  </sheetData>
  <mergeCells count="2">
    <mergeCell ref="H2:I2"/>
    <mergeCell ref="A2:F2"/>
  </mergeCells>
  <pageMargins left="0.7" right="0.7" top="0.75" bottom="0.75" header="0.3" footer="0.3"/>
  <pageSetup scale="64" orientation="portrait" r:id="rId1"/>
  <tableParts count="1">
    <tablePart r:id="rId2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9"/>
  <sheetViews>
    <sheetView workbookViewId="0">
      <selection activeCell="B24" sqref="B24"/>
    </sheetView>
  </sheetViews>
  <sheetFormatPr defaultRowHeight="15" x14ac:dyDescent="0.25"/>
  <cols>
    <col min="2" max="2" width="100.7109375" customWidth="1"/>
    <col min="3" max="3" width="43.85546875" bestFit="1" customWidth="1"/>
    <col min="4" max="4" width="14.5703125" bestFit="1" customWidth="1"/>
    <col min="5" max="5" width="6.5703125" bestFit="1" customWidth="1"/>
    <col min="6" max="6" width="14" bestFit="1" customWidth="1"/>
    <col min="7" max="7" width="14.5703125" bestFit="1" customWidth="1"/>
    <col min="9" max="9" width="16.42578125" bestFit="1" customWidth="1"/>
    <col min="10" max="10" width="12" bestFit="1" customWidth="1"/>
    <col min="11" max="11" width="13.5703125" bestFit="1" customWidth="1"/>
  </cols>
  <sheetData>
    <row r="1" spans="1:2" ht="18.75" x14ac:dyDescent="0.3">
      <c r="A1" s="169" t="s">
        <v>283</v>
      </c>
      <c r="B1" s="169"/>
    </row>
    <row r="2" spans="1:2" x14ac:dyDescent="0.25">
      <c r="A2">
        <v>1</v>
      </c>
      <c r="B2" t="s">
        <v>285</v>
      </c>
    </row>
    <row r="3" spans="1:2" x14ac:dyDescent="0.25">
      <c r="A3">
        <v>2</v>
      </c>
      <c r="B3" t="s">
        <v>293</v>
      </c>
    </row>
    <row r="4" spans="1:2" x14ac:dyDescent="0.25">
      <c r="A4">
        <v>3</v>
      </c>
      <c r="B4" t="s">
        <v>286</v>
      </c>
    </row>
    <row r="5" spans="1:2" x14ac:dyDescent="0.25">
      <c r="A5">
        <v>4</v>
      </c>
      <c r="B5" t="s">
        <v>287</v>
      </c>
    </row>
    <row r="6" spans="1:2" x14ac:dyDescent="0.25">
      <c r="A6">
        <v>5</v>
      </c>
      <c r="B6" t="s">
        <v>284</v>
      </c>
    </row>
    <row r="7" spans="1:2" x14ac:dyDescent="0.25">
      <c r="A7">
        <v>6</v>
      </c>
      <c r="B7" t="s">
        <v>288</v>
      </c>
    </row>
    <row r="8" spans="1:2" x14ac:dyDescent="0.25">
      <c r="A8">
        <v>7</v>
      </c>
      <c r="B8" t="s">
        <v>295</v>
      </c>
    </row>
    <row r="9" spans="1:2" x14ac:dyDescent="0.25">
      <c r="A9">
        <v>8</v>
      </c>
      <c r="B9" t="s">
        <v>289</v>
      </c>
    </row>
    <row r="10" spans="1:2" x14ac:dyDescent="0.25">
      <c r="A10">
        <v>9</v>
      </c>
      <c r="B10" t="s">
        <v>294</v>
      </c>
    </row>
    <row r="11" spans="1:2" x14ac:dyDescent="0.25">
      <c r="A11">
        <v>10</v>
      </c>
      <c r="B11" t="s">
        <v>290</v>
      </c>
    </row>
    <row r="12" spans="1:2" x14ac:dyDescent="0.25">
      <c r="A12">
        <v>11</v>
      </c>
      <c r="B12" t="s">
        <v>298</v>
      </c>
    </row>
    <row r="13" spans="1:2" x14ac:dyDescent="0.25">
      <c r="A13">
        <v>12</v>
      </c>
      <c r="B13" t="s">
        <v>291</v>
      </c>
    </row>
    <row r="14" spans="1:2" x14ac:dyDescent="0.25">
      <c r="A14">
        <v>13</v>
      </c>
      <c r="B14" t="s">
        <v>292</v>
      </c>
    </row>
    <row r="18" spans="1:1" x14ac:dyDescent="0.25">
      <c r="A18" t="s">
        <v>297</v>
      </c>
    </row>
    <row r="19" spans="1:1" x14ac:dyDescent="0.25">
      <c r="A19" t="s">
        <v>296</v>
      </c>
    </row>
  </sheetData>
  <mergeCells count="1">
    <mergeCell ref="A1:B1"/>
  </mergeCells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C8" sqref="C8"/>
    </sheetView>
  </sheetViews>
  <sheetFormatPr defaultRowHeight="15" x14ac:dyDescent="0.25"/>
  <sheetData>
    <row r="1" spans="1:1" x14ac:dyDescent="0.25">
      <c r="A1" t="s">
        <v>299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Calculator</vt:lpstr>
      <vt:lpstr>Guidelines</vt:lpstr>
      <vt:lpstr>Sheet3</vt:lpstr>
    </vt:vector>
  </TitlesOfParts>
  <Company>CALS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SAIT User</dc:creator>
  <cp:lastModifiedBy>Jodi Lommer</cp:lastModifiedBy>
  <cp:lastPrinted>2013-03-22T14:21:13Z</cp:lastPrinted>
  <dcterms:created xsi:type="dcterms:W3CDTF">2013-03-21T21:36:55Z</dcterms:created>
  <dcterms:modified xsi:type="dcterms:W3CDTF">2014-06-24T15:46:13Z</dcterms:modified>
</cp:coreProperties>
</file>